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howInkAnnotation="0" codeName="ThisWorkbook"/>
  <mc:AlternateContent xmlns:mc="http://schemas.openxmlformats.org/markup-compatibility/2006">
    <mc:Choice Requires="x15">
      <x15ac:absPath xmlns:x15ac="http://schemas.microsoft.com/office/spreadsheetml/2010/11/ac" url="https://naiconline.sharepoint.com/teams/FilingSolutionsImplementation/OPTins/Marketing/State Information/State Folders/Arizona/Forms/Premium Tax/2024/Annual/E-Tax/Domestics/"/>
    </mc:Choice>
  </mc:AlternateContent>
  <xr:revisionPtr revIDLastSave="602" documentId="8_{69C0BB89-8470-4920-A253-3F04CE307D4C}" xr6:coauthVersionLast="47" xr6:coauthVersionMax="47" xr10:uidLastSave="{2322ACD7-E243-4465-B3C1-E981256EF024}"/>
  <bookViews>
    <workbookView xWindow="-110" yWindow="-110" windowWidth="25180" windowHeight="16140" xr2:uid="{00000000-000D-0000-FFFF-FFFF00000000}"/>
  </bookViews>
  <sheets>
    <sheet name="FormE-TAX" sheetId="1" r:id="rId1"/>
    <sheet name="FormE-TC" sheetId="10" r:id="rId2"/>
    <sheet name="FormE-LRTF" sheetId="9" r:id="rId3"/>
    <sheet name="RT - hidden" sheetId="4" state="hidden" r:id="rId4"/>
    <sheet name="StateRequirements" sheetId="7" state="hidden" r:id="rId5"/>
  </sheets>
  <definedNames>
    <definedName name="_04">'FormE-TAX'!$H$39</definedName>
    <definedName name="_05">'FormE-TAX'!$J$40</definedName>
    <definedName name="_07">'FormE-TAX'!$H$40</definedName>
    <definedName name="_09">'FormE-TAX'!$J$38</definedName>
    <definedName name="_46">'FormE-TAX'!$H$38</definedName>
    <definedName name="_7">'FormE-TAX'!$I$23</definedName>
    <definedName name="_AL">'FormE-TAX'!$G$100</definedName>
    <definedName name="_AL2">'FormE-TAX'!$G$101</definedName>
    <definedName name="_ALO">'FormE-TAX'!$G$102</definedName>
    <definedName name="_ANNSTMT">'FormE-TAX'!$I$22</definedName>
    <definedName name="_BusType">'FormE-TAX'!$G$12</definedName>
    <definedName name="_CHG">'FormE-TAX'!$C$37</definedName>
    <definedName name="_CP">'FormE-TAX'!$G$109</definedName>
    <definedName name="_CP2">'FormE-TAX'!$G$110</definedName>
    <definedName name="_CPO">'FormE-TAX'!$G$111</definedName>
    <definedName name="_DIV">'FormE-TAX'!$C$38</definedName>
    <definedName name="_Domicile">'FormE-TAX'!$A$14</definedName>
    <definedName name="_EntType">'FormE-TAX'!$J$12</definedName>
    <definedName name="_F1">'FormE-TAX'!$G$114</definedName>
    <definedName name="_F1T">'FormE-TAX'!$I$115</definedName>
    <definedName name="_F2">'FormE-TAX'!$G$112</definedName>
    <definedName name="_F2T">'FormE-TAX'!$I$113</definedName>
    <definedName name="_FC">'FormE-TAX'!$C$39</definedName>
    <definedName name="_FE">'FormE-TAX'!$C$40</definedName>
    <definedName name="_FI">'FormE-TAX'!$G$97</definedName>
    <definedName name="_FI2">'FormE-TAX'!$G$98</definedName>
    <definedName name="_FIO">'FormE-TAX'!$G$99</definedName>
    <definedName name="_FO">'FormE-TAX'!$G$103</definedName>
    <definedName name="_FO2">'FormE-TAX'!$G$104</definedName>
    <definedName name="_FOO">'FormE-TAX'!$G$105</definedName>
    <definedName name="_FT">'FormE-TAX'!$I$116</definedName>
    <definedName name="_GE">'FormE-TAX'!$F$37</definedName>
    <definedName name="_GT">'FormE-TAX'!$I$17</definedName>
    <definedName name="_HO">'FormE-TAX'!$G$106</definedName>
    <definedName name="_HO2">'FormE-TAX'!$G$107</definedName>
    <definedName name="_HOO">'FormE-TAX'!$G$108</definedName>
    <definedName name="_IB">'FormE-TAX'!$I$19</definedName>
    <definedName name="_InsurerName">'FormE-TAX'!$C$12</definedName>
    <definedName name="_MAddr">'FormE-TAX'!$C$14</definedName>
    <definedName name="_MCity">'FormE-TAX'!$G$14</definedName>
    <definedName name="_MCX">'FormE-TAX'!$F$38</definedName>
    <definedName name="_MState">'FormE-TAX'!$I$14</definedName>
    <definedName name="_MZIP">'FormE-TAX'!$J$14</definedName>
    <definedName name="_NAIC">'FormE-TAX'!$A$12</definedName>
    <definedName name="_OriginalReport">'FormE-TAX'!$H$6</definedName>
    <definedName name="_OS">'FormE-TAX'!$F$39</definedName>
    <definedName name="_PC">'FormE-TAX'!$G$124</definedName>
    <definedName name="_PC_Dividends_Total">'FormE-TAX'!$G$84</definedName>
    <definedName name="_PC_FSC_Total">'FormE-TAX'!$F$84</definedName>
    <definedName name="_PC_OS">'FormE-TAX'!$H$84</definedName>
    <definedName name="_PC_Taxable_Total">'FormE-TAX'!$J$84</definedName>
    <definedName name="_PC_TWP">'FormE-TAX'!$E$84</definedName>
    <definedName name="_PCT">'FormE-TAX'!$I$125</definedName>
    <definedName name="_PMT_69">'FormE-TAX'!$I$31</definedName>
    <definedName name="_PreparerEmail">'FormE-TAX'!$E$137</definedName>
    <definedName name="_PreparerName">'FormE-TAX'!$A$137</definedName>
    <definedName name="_PreparerPhone">'FormE-TAX'!$J$137</definedName>
    <definedName name="_REN">'FormE-TAX'!$I$21</definedName>
    <definedName name="_RT">'FormE-TAX'!$I$20</definedName>
    <definedName name="_SG">'FormE-TAX'!$H$37</definedName>
    <definedName name="_SVCCHG">'FormE-TAX'!$E$86</definedName>
    <definedName name="_TaxYear">'FormE-TAX'!$K$3</definedName>
    <definedName name="_TC">'FormE-TAX'!$I$18</definedName>
    <definedName name="_TIP">'FormE-TAX'!$I$24</definedName>
    <definedName name="_TIP1">'FormE-TAX'!$I$25</definedName>
    <definedName name="_TIP2">'FormE-TAX'!$I$26</definedName>
    <definedName name="_TIP3">'FormE-TAX'!$I$27</definedName>
    <definedName name="_TIP4">'FormE-TAX'!$I$28</definedName>
    <definedName name="_TIP5">'FormE-TAX'!$I$29</definedName>
    <definedName name="_TIP6">'FormE-TAX'!$I$30</definedName>
    <definedName name="_VE">'FormE-TAX'!$G$128</definedName>
    <definedName name="_VT">'FormE-TAX'!$I$129</definedName>
    <definedName name="_WC">'FormE-TAX'!$F$40</definedName>
    <definedName name="City">'FormE-TAX'!$G$139</definedName>
    <definedName name="Installment_Due">'FormE-TAX'!$M$33</definedName>
    <definedName name="LRTF_AL_a" localSheetId="2">'FormE-LRTF'!$C$4</definedName>
    <definedName name="LRTF_AL_b" localSheetId="2">'FormE-LRTF'!$E$4</definedName>
    <definedName name="LRTF_AL_c" localSheetId="2">'FormE-LRTF'!$F$4</definedName>
    <definedName name="LRTF_AL_comment">'FormE-LRTF'!$L$4</definedName>
    <definedName name="LRTF_AL_E">'FormE-LRTF'!$I$4</definedName>
    <definedName name="LRTF_AL_total" localSheetId="2">'FormE-LRTF'!$G$4</definedName>
    <definedName name="LRTF_AL_total_municipal">'FormE-LRTF'!$J$4</definedName>
    <definedName name="LRTF_FL_a" localSheetId="2">'FormE-LRTF'!$C$5</definedName>
    <definedName name="LRTF_FL_b" localSheetId="2">'FormE-LRTF'!$E$5</definedName>
    <definedName name="LRTF_FL_c" localSheetId="2">'FormE-LRTF'!$F$5</definedName>
    <definedName name="LRTF_FL_comment">'FormE-LRTF'!$L$5</definedName>
    <definedName name="LRTF_FL_E">'FormE-LRTF'!$I$5</definedName>
    <definedName name="LRTF_FL_total" localSheetId="2">'FormE-LRTF'!$G$5</definedName>
    <definedName name="LRTF_FL_total_municipal">'FormE-LRTF'!$J$5</definedName>
    <definedName name="LRTF_GA_a" localSheetId="2">'FormE-LRTF'!$C$6</definedName>
    <definedName name="LRTF_GA_b" localSheetId="2">'FormE-LRTF'!$E$6</definedName>
    <definedName name="LRTF_GA_c" localSheetId="2">'FormE-LRTF'!$F$6</definedName>
    <definedName name="LRTF_GA_comment">'FormE-LRTF'!$L$6</definedName>
    <definedName name="LRTF_GA_D" localSheetId="2">'FormE-LRTF'!$H$6</definedName>
    <definedName name="LRTF_GA_E">'FormE-LRTF'!$I$6</definedName>
    <definedName name="LRTF_GA_total" localSheetId="2">'FormE-LRTF'!$G$6</definedName>
    <definedName name="LRTF_GA_total_municipal">'FormE-LRTF'!$J$6</definedName>
    <definedName name="LRTF_IA_a" localSheetId="2">'FormE-LRTF'!$C$8</definedName>
    <definedName name="LRTF_IA_b" localSheetId="2">'FormE-LRTF'!$E$8</definedName>
    <definedName name="LRTF_IA_c" localSheetId="2">'FormE-LRTF'!$F$8</definedName>
    <definedName name="LRTF_IA_comment">'FormE-LRTF'!$L$8</definedName>
    <definedName name="LRTF_IA_E">'FormE-LRTF'!$I$8</definedName>
    <definedName name="LRTF_IA_total" localSheetId="2">'FormE-LRTF'!$G$8</definedName>
    <definedName name="LRTF_IA_total_municipal">'FormE-LRTF'!$J$8</definedName>
    <definedName name="LRTF_IL_a" localSheetId="2">'FormE-LRTF'!$C$7</definedName>
    <definedName name="LRTF_IL_b" localSheetId="2">'FormE-LRTF'!$E$7</definedName>
    <definedName name="LRTF_IL_c" localSheetId="2">'FormE-LRTF'!$F$7</definedName>
    <definedName name="LRTF_IL_comment">'FormE-LRTF'!$L$7</definedName>
    <definedName name="LRTF_IL_E">'FormE-LRTF'!$I$7</definedName>
    <definedName name="LRTF_IL_total" localSheetId="2">'FormE-LRTF'!$G$7</definedName>
    <definedName name="LRTF_IL_total_municipal">'FormE-LRTF'!$J$7</definedName>
    <definedName name="LRTF_KS_a" localSheetId="2">'FormE-LRTF'!$C$9</definedName>
    <definedName name="LRTF_KS_b" localSheetId="2">'FormE-LRTF'!$E$9</definedName>
    <definedName name="LRTF_KS_c" localSheetId="2">'FormE-LRTF'!$F$9</definedName>
    <definedName name="LRTF_KS_comment">'FormE-LRTF'!$L$9</definedName>
    <definedName name="LRTF_KS_E">'FormE-LRTF'!$I$9</definedName>
    <definedName name="LRTF_KS_total" localSheetId="2">'FormE-LRTF'!$G$9</definedName>
    <definedName name="LRTF_KS_total_municipal">'FormE-LRTF'!$J$9</definedName>
    <definedName name="LRTF_KY_a" localSheetId="2">'FormE-LRTF'!$C$10</definedName>
    <definedName name="LRTF_KY_b" localSheetId="2">'FormE-LRTF'!$E$10</definedName>
    <definedName name="LRTF_KY_c" localSheetId="2">'FormE-LRTF'!$F$10</definedName>
    <definedName name="LRTF_KY_comment">'FormE-LRTF'!$L$10</definedName>
    <definedName name="LRTF_KY_D" localSheetId="2">'FormE-LRTF'!$H$10</definedName>
    <definedName name="LRTF_KY_E">'FormE-LRTF'!$I$10</definedName>
    <definedName name="LRTF_KY_total" localSheetId="2">'FormE-LRTF'!$G$10</definedName>
    <definedName name="LRTF_KY_total_municipal">'FormE-LRTF'!$J$10</definedName>
    <definedName name="LRTF_LA_a" localSheetId="2">'FormE-LRTF'!$C$11</definedName>
    <definedName name="LRTF_LA_b" localSheetId="2">'FormE-LRTF'!$E$11</definedName>
    <definedName name="LRTF_LA_c" localSheetId="2">'FormE-LRTF'!$F$11</definedName>
    <definedName name="LRTF_LA_comment">'FormE-LRTF'!$L$11</definedName>
    <definedName name="LRTF_LA_D" localSheetId="2">'FormE-LRTF'!$H$11</definedName>
    <definedName name="LRTF_LA_E">'FormE-LRTF'!$I$11</definedName>
    <definedName name="LRTF_LA_total" localSheetId="2">'FormE-LRTF'!$G$11</definedName>
    <definedName name="LRTF_LA_total_municipal">'FormE-LRTF'!$J$11</definedName>
    <definedName name="LRTF_MO_a" localSheetId="2">'FormE-LRTF'!$C$13</definedName>
    <definedName name="LRTF_MO_b" localSheetId="2">'FormE-LRTF'!$E$13</definedName>
    <definedName name="LRTF_MO_c" localSheetId="2">'FormE-LRTF'!$F$13</definedName>
    <definedName name="LRTF_MO_comment">'FormE-LRTF'!$L$13</definedName>
    <definedName name="LRTF_MO_E">'FormE-LRTF'!$I$13</definedName>
    <definedName name="LRTF_MO_total" localSheetId="2">'FormE-LRTF'!$G$13</definedName>
    <definedName name="LRTF_MO_total_municipal">'FormE-LRTF'!$J$13</definedName>
    <definedName name="LRTF_MS_a" localSheetId="2">'FormE-LRTF'!$C$12</definedName>
    <definedName name="LRTF_MS_b" localSheetId="2">'FormE-LRTF'!$E$12</definedName>
    <definedName name="LRTF_MS_c" localSheetId="2">'FormE-LRTF'!$F$12</definedName>
    <definedName name="LRTF_MS_comment">'FormE-LRTF'!$L$12</definedName>
    <definedName name="LRTF_MS_E">'FormE-LRTF'!$I$12</definedName>
    <definedName name="LRTF_MS_total" localSheetId="2">'FormE-LRTF'!$G$12</definedName>
    <definedName name="LRTF_MS_total_municipal">'FormE-LRTF'!$J$12</definedName>
    <definedName name="LRTF_NE_a" localSheetId="2">'FormE-LRTF'!$C$14</definedName>
    <definedName name="LRTF_NE_b" localSheetId="2">'FormE-LRTF'!$E$14</definedName>
    <definedName name="LRTF_NE_c" localSheetId="2">'FormE-LRTF'!$F$14</definedName>
    <definedName name="LRTF_NE_comment">'FormE-LRTF'!$L$14</definedName>
    <definedName name="LRTF_NE_E">'FormE-LRTF'!$I$14</definedName>
    <definedName name="LRTF_NE_total" localSheetId="2">'FormE-LRTF'!$G$14</definedName>
    <definedName name="LRTF_NE_total_municipal">'FormE-LRTF'!$J$14</definedName>
    <definedName name="LRTF_PA_a" localSheetId="2">'FormE-LRTF'!$C$15</definedName>
    <definedName name="LRTF_PA_b" localSheetId="2">'FormE-LRTF'!$E$15</definedName>
    <definedName name="LRTF_PA_c" localSheetId="2">'FormE-LRTF'!$F$15</definedName>
    <definedName name="LRTF_PA_comment">'FormE-LRTF'!$L$15</definedName>
    <definedName name="LRTF_PA_E">'FormE-LRTF'!$I$15</definedName>
    <definedName name="LRTF_PA_total" localSheetId="2">'FormE-LRTF'!$G$15</definedName>
    <definedName name="LRTF_PA_total_municipal">'FormE-LRTF'!$J$15</definedName>
    <definedName name="LRTF_SC_a" localSheetId="2">'FormE-LRTF'!$C$16</definedName>
    <definedName name="LRTF_SC_b" localSheetId="2">'FormE-LRTF'!$E$16</definedName>
    <definedName name="LRTF_SC_c" localSheetId="2">'FormE-LRTF'!$F$16</definedName>
    <definedName name="LRTF_SC_comment">'FormE-LRTF'!$L$16</definedName>
    <definedName name="LRTF_SC_D" localSheetId="2">'FormE-LRTF'!$H$16</definedName>
    <definedName name="LRTF_SC_E">'FormE-LRTF'!$I$16</definedName>
    <definedName name="LRTF_SC_total" localSheetId="2">'FormE-LRTF'!$G$16</definedName>
    <definedName name="LRTF_SC_total_municipal">'FormE-LRTF'!$J$16</definedName>
    <definedName name="LRTF_TX_a" localSheetId="2">'FormE-LRTF'!$C$17</definedName>
    <definedName name="LRTF_TX_b" localSheetId="2">'FormE-LRTF'!$E$17</definedName>
    <definedName name="LRTF_TX_c" localSheetId="2">'FormE-LRTF'!$F$17</definedName>
    <definedName name="LRTF_TX_comment">'FormE-LRTF'!$L$17</definedName>
    <definedName name="LRTF_TX_E">'FormE-LRTF'!$I$17</definedName>
    <definedName name="LRTF_TX_total" localSheetId="2">'FormE-LRTF'!$G$17</definedName>
    <definedName name="LRTF_TX_total_municipal">'FormE-LRTF'!$J$17</definedName>
    <definedName name="LRTF_VT_a" localSheetId="2">'FormE-LRTF'!$C$18</definedName>
    <definedName name="LRTF_VT_b" localSheetId="2">'FormE-LRTF'!$E$18</definedName>
    <definedName name="LRTF_VT_c" localSheetId="2">'FormE-LRTF'!$F$18</definedName>
    <definedName name="LRTF_VT_comment">'FormE-LRTF'!$L$18</definedName>
    <definedName name="LRTF_VT_E">'FormE-LRTF'!$I$18</definedName>
    <definedName name="LRTF_VT_total" localSheetId="2">'FormE-LRTF'!$G$18</definedName>
    <definedName name="LRTF_VT_total_municipal">'FormE-LRTF'!$J$18</definedName>
    <definedName name="LRTF_WV_a" localSheetId="2">'FormE-LRTF'!$C$19</definedName>
    <definedName name="LRTF_WV_b" localSheetId="2">'FormE-LRTF'!$E$19</definedName>
    <definedName name="LRTF_WV_c" localSheetId="2">'FormE-LRTF'!$F$19</definedName>
    <definedName name="LRTF_WV_comment">'FormE-LRTF'!$L$19</definedName>
    <definedName name="LRTF_WV_E">'FormE-LRTF'!$I$19</definedName>
    <definedName name="LRTF_WV_total" localSheetId="2">'FormE-LRTF'!$G$19</definedName>
    <definedName name="LRTF_WV_total_municipal">'FormE-LRTF'!$J$19</definedName>
    <definedName name="Mailing_Address">'FormE-TAX'!$A$139</definedName>
    <definedName name="paycd_AS">'FormE-TAX'!$K$22</definedName>
    <definedName name="paycd_REN">'FormE-TAX'!$K$21</definedName>
    <definedName name="PC01_Dividends">'FormE-TAX'!$G$46</definedName>
    <definedName name="PC01_Finance_Srvc_Charges">'FormE-TAX'!$F$46</definedName>
    <definedName name="PC01_Other">'FormE-TAX'!$H$46</definedName>
    <definedName name="PC01_Total">'FormE-TAX'!$J$46</definedName>
    <definedName name="PC01_Total_Written_Premium">'FormE-TAX'!$E$46</definedName>
    <definedName name="PC02.1_Dividends">'FormE-TAX'!$G$47</definedName>
    <definedName name="PC02.1_Finance_Srvc_Charges">'FormE-TAX'!$F$47</definedName>
    <definedName name="PC02.1_Other">'FormE-TAX'!$H$47</definedName>
    <definedName name="PC02.1_Total">'FormE-TAX'!$J$47</definedName>
    <definedName name="PC02.1_Total_Written_Premium">'FormE-TAX'!$E$47</definedName>
    <definedName name="PC02.2_Dividends">'FormE-TAX'!$G$48</definedName>
    <definedName name="PC02.2_Finance_Srvc_Charges">'FormE-TAX'!$F$48</definedName>
    <definedName name="PC02.2_Other">'FormE-TAX'!$H$48</definedName>
    <definedName name="PC02.2_Total">'FormE-TAX'!$J$48</definedName>
    <definedName name="PC02.2_Total_Written_Premium">'FormE-TAX'!$E$48</definedName>
    <definedName name="PC02.3_Dividends">'FormE-TAX'!$G$49</definedName>
    <definedName name="PC02.3_Finance_Srvc_Charges">'FormE-TAX'!$F$49</definedName>
    <definedName name="PC02.3_Other">'FormE-TAX'!$H$49</definedName>
    <definedName name="PC02.3_Total">'FormE-TAX'!$J$49</definedName>
    <definedName name="PC02.3_Total_Written_Premium">'FormE-TAX'!$E$49</definedName>
    <definedName name="PC02.4_Dividends">'FormE-TAX'!$G$50</definedName>
    <definedName name="PC02.4_Finance_Srvc_Charges">'FormE-TAX'!$F$50</definedName>
    <definedName name="PC02.4_Other">'FormE-TAX'!$H$50</definedName>
    <definedName name="PC02.4_Total">'FormE-TAX'!$J$50</definedName>
    <definedName name="PC02.4_Total_Written_Premium">'FormE-TAX'!$E$50</definedName>
    <definedName name="PC02.5_Dividends">'FormE-TAX'!$G$51</definedName>
    <definedName name="PC02.5_Finance_Srvc_Charges">'FormE-TAX'!$F$51</definedName>
    <definedName name="PC02.5_Other">'FormE-TAX'!$H$51</definedName>
    <definedName name="PC02.5_Total">'FormE-TAX'!$J$51</definedName>
    <definedName name="PC02.5_Total_Written_Premium">'FormE-TAX'!$E$51</definedName>
    <definedName name="PC03_Dividends">'FormE-TAX'!$G$52</definedName>
    <definedName name="PC03_Finance_Srvc_Charges">'FormE-TAX'!$F$52</definedName>
    <definedName name="PC03_Other">'FormE-TAX'!$H$52</definedName>
    <definedName name="PC03_Total">'FormE-TAX'!$J$52</definedName>
    <definedName name="PC03_Total_Written_Premium">'FormE-TAX'!$E$52</definedName>
    <definedName name="PC04_Dividends">'FormE-TAX'!$G$53</definedName>
    <definedName name="PC04_Finance_Srvc_Charges">'FormE-TAX'!$F$53</definedName>
    <definedName name="PC04_Other">'FormE-TAX'!$H$53</definedName>
    <definedName name="PC04_Total">'FormE-TAX'!$J$53</definedName>
    <definedName name="PC04_Total_Written_Premium">'FormE-TAX'!$E$53</definedName>
    <definedName name="PC05.1_Dividends">'FormE-TAX'!$G$54</definedName>
    <definedName name="PC05.1_Finance_Srvc_Charges">'FormE-TAX'!$F$54</definedName>
    <definedName name="PC05.1_Other">'FormE-TAX'!$H$54</definedName>
    <definedName name="PC05.1_Total">'FormE-TAX'!$J$54</definedName>
    <definedName name="PC05.1_Total_Written_Premium">'FormE-TAX'!$E$54</definedName>
    <definedName name="PC05.2_Dividends">'FormE-TAX'!$G$55</definedName>
    <definedName name="PC05.2_Finance_Srvc_Charges">'FormE-TAX'!$F$55</definedName>
    <definedName name="PC05.2_Other">'FormE-TAX'!$H$55</definedName>
    <definedName name="PC05.2_Total">'FormE-TAX'!$J$55</definedName>
    <definedName name="PC05.2_Total_Written_Premium">'FormE-TAX'!$E$55</definedName>
    <definedName name="PC06_Dividends">'FormE-TAX'!$G$56</definedName>
    <definedName name="PC06_Finance_Srvc_Charges">'FormE-TAX'!$F$56</definedName>
    <definedName name="PC06_Other">'FormE-TAX'!$H$56</definedName>
    <definedName name="PC06_Total">'FormE-TAX'!$J$56</definedName>
    <definedName name="PC06_Total_Written_Premium">'FormE-TAX'!$E$56</definedName>
    <definedName name="PC08_Dividends">'FormE-TAX'!$G$57</definedName>
    <definedName name="PC08_Finance_Srvc_Charges">'FormE-TAX'!$F$57</definedName>
    <definedName name="PC08_Other">'FormE-TAX'!$H$57</definedName>
    <definedName name="PC08_Total">'FormE-TAX'!$J$57</definedName>
    <definedName name="PC08_Total_Written_Premium">'FormE-TAX'!$E$57</definedName>
    <definedName name="PC09.2_Dividends">'FormE-TAX'!$G$59</definedName>
    <definedName name="PC09.2_Finance_Srvc_Charges">'FormE-TAX'!$F$59</definedName>
    <definedName name="PC09.2_Other">'FormE-TAX'!$H$59</definedName>
    <definedName name="PC09.2_Total">'FormE-TAX'!$J$59</definedName>
    <definedName name="PC09.2_Total_Written_Premium">'FormE-TAX'!$E$59</definedName>
    <definedName name="PC09_Dividends">'FormE-TAX'!$G$58</definedName>
    <definedName name="PC09_Finance_Srvc_Charges">'FormE-TAX'!$F$58</definedName>
    <definedName name="PC09_Other">'FormE-TAX'!$H$58</definedName>
    <definedName name="PC09_Total">'FormE-TAX'!$J$58</definedName>
    <definedName name="PC09_Total_Written_Premium">'FormE-TAX'!$E$58</definedName>
    <definedName name="PC10_Dividends">'FormE-TAX'!$G$60</definedName>
    <definedName name="PC10_Finance_Srvc_Charges">'FormE-TAX'!$F$60</definedName>
    <definedName name="PC10_Other">'FormE-TAX'!$H$60</definedName>
    <definedName name="PC10_Total">'FormE-TAX'!$J$60</definedName>
    <definedName name="PC10_Total_Written_Premium">'FormE-TAX'!$E$60</definedName>
    <definedName name="PC11_Dividends">'FormE-TAX'!$G$61</definedName>
    <definedName name="PC11_Finance_Srvc_Charges">'FormE-TAX'!$F$61</definedName>
    <definedName name="PC11_Other">'FormE-TAX'!$H$61</definedName>
    <definedName name="PC11_Total">'FormE-TAX'!$J$61</definedName>
    <definedName name="PC11_Total_Written_Premium">'FormE-TAX'!$E$61</definedName>
    <definedName name="PC12_Dividends">'FormE-TAX'!$G$62</definedName>
    <definedName name="PC12_Finance_Srvc_Charges">'FormE-TAX'!$F$62</definedName>
    <definedName name="PC12_Other">'FormE-TAX'!$H$62</definedName>
    <definedName name="PC12_Total">'FormE-TAX'!$J$62</definedName>
    <definedName name="PC12_Total_Written_Premium">'FormE-TAX'!$E$62</definedName>
    <definedName name="PC16_Dividends">'FormE-TAX'!$G$63</definedName>
    <definedName name="PC16_Finance_Srvc_Charges">'FormE-TAX'!$F$63</definedName>
    <definedName name="PC16_Other">'FormE-TAX'!$H$63</definedName>
    <definedName name="PC16_Total">'FormE-TAX'!$J$63</definedName>
    <definedName name="PC16_Total_Written_Premium">'FormE-TAX'!$E$63</definedName>
    <definedName name="PC17.1_Dividends">'FormE-TAX'!$G$64</definedName>
    <definedName name="PC17.1_Finance_Srvc_Charges">'FormE-TAX'!$F$64</definedName>
    <definedName name="PC17.1_Other">'FormE-TAX'!$H$64</definedName>
    <definedName name="PC17.1_Total">'FormE-TAX'!$J$64</definedName>
    <definedName name="PC17.1_Total_Written_Premium">'FormE-TAX'!$E$64</definedName>
    <definedName name="PC17.2_Dividends">'FormE-TAX'!$G$65</definedName>
    <definedName name="PC17.2_Finance_Srvc_Charges">'FormE-TAX'!$F$65</definedName>
    <definedName name="PC17.2_Other">'FormE-TAX'!$H$65</definedName>
    <definedName name="PC17.2_Total">'FormE-TAX'!$J$65</definedName>
    <definedName name="PC17.2_Total_Written_Premium">'FormE-TAX'!$E$65</definedName>
    <definedName name="PC17.3_Dividends">'FormE-TAX'!$G$66</definedName>
    <definedName name="PC17.3_Finance_Srvc_Charges">'FormE-TAX'!$F$66</definedName>
    <definedName name="PC17.3_Other">'FormE-TAX'!$H$66</definedName>
    <definedName name="PC17.3_Total">'FormE-TAX'!$J$66</definedName>
    <definedName name="PC17.3_Total_Written_Premium">'FormE-TAX'!$E$66</definedName>
    <definedName name="PC18_Dividends">'FormE-TAX'!$G$67</definedName>
    <definedName name="PC18_Finance_Srvc_Charges">'FormE-TAX'!$F$67</definedName>
    <definedName name="PC18_Other">'FormE-TAX'!$H$67</definedName>
    <definedName name="PC18_Total">'FormE-TAX'!$J$67</definedName>
    <definedName name="PC18_Total_Written_Premium">'FormE-TAX'!$E$67</definedName>
    <definedName name="PC19.1_Dividends">'FormE-TAX'!$G$69</definedName>
    <definedName name="PC19.1_Finance_Srvc_Charges">'FormE-TAX'!$F$69</definedName>
    <definedName name="PC19.1_Other">'FormE-TAX'!$H$69</definedName>
    <definedName name="PC19.1_Total">'FormE-TAX'!$J$69</definedName>
    <definedName name="PC19.1_Total_Written_Premium">'FormE-TAX'!$E$69</definedName>
    <definedName name="PC19.2_Dividends">'FormE-TAX'!$G$70</definedName>
    <definedName name="PC19.2_Finance_Srvc_Charges">'FormE-TAX'!$F$70</definedName>
    <definedName name="PC19.2_Other">'FormE-TAX'!$H$70</definedName>
    <definedName name="PC19.2_Total">'FormE-TAX'!$J$70</definedName>
    <definedName name="PC19.2_Total_Written_Premium">'FormE-TAX'!$E$70</definedName>
    <definedName name="PC19.3_Dividends">'FormE-TAX'!$G$71</definedName>
    <definedName name="PC19.3_Finance_Srvc_Charges">'FormE-TAX'!$F$71</definedName>
    <definedName name="PC19.3_Other">'FormE-TAX'!$H$71</definedName>
    <definedName name="PC19.3_Total">'FormE-TAX'!$J$71</definedName>
    <definedName name="PC19.3_Total_Written_Premium">'FormE-TAX'!$E$71</definedName>
    <definedName name="PC19.4_Dividends">'FormE-TAX'!$G$72</definedName>
    <definedName name="PC19.4_Finance_Srvc_Charges">'FormE-TAX'!$F$72</definedName>
    <definedName name="PC19.4_Other">'FormE-TAX'!$H$72</definedName>
    <definedName name="PC19.4_Total">'FormE-TAX'!$J$72</definedName>
    <definedName name="PC19.4_Total_Written_Premium">'FormE-TAX'!$E$72</definedName>
    <definedName name="PC21.1_Dividends">'FormE-TAX'!$G$73</definedName>
    <definedName name="PC21.1_Finance_Srvc_Charges">'FormE-TAX'!$F$73</definedName>
    <definedName name="PC21.1_Other">'FormE-TAX'!$H$73</definedName>
    <definedName name="PC21.1_Total">'FormE-TAX'!$J$73</definedName>
    <definedName name="PC21.1_Total_Written_Premium">'FormE-TAX'!$E$73</definedName>
    <definedName name="PC21.2_Dividends">'FormE-TAX'!$G$74</definedName>
    <definedName name="PC21.2_Finance_Srvc_Charges">'FormE-TAX'!$F$74</definedName>
    <definedName name="PC21.2_Other">'FormE-TAX'!$H$74</definedName>
    <definedName name="PC21.2_Total">'FormE-TAX'!$J$74</definedName>
    <definedName name="PC21.2_Total_Written_Premium">'FormE-TAX'!$E$74</definedName>
    <definedName name="PC22_Dividends">'FormE-TAX'!$G$76</definedName>
    <definedName name="PC22_Finance_Srvc_Charges">'FormE-TAX'!$F$76</definedName>
    <definedName name="PC22_Other">'FormE-TAX'!$H$76</definedName>
    <definedName name="PC22_Total">'FormE-TAX'!$J$76</definedName>
    <definedName name="PC22_Total_Written_Premium">'FormE-TAX'!$E$76</definedName>
    <definedName name="PC23_Dividends">'FormE-TAX'!$G$77</definedName>
    <definedName name="PC23_Finance_Srvc_Charges">'FormE-TAX'!$F$77</definedName>
    <definedName name="PC23_Other">'FormE-TAX'!$H$77</definedName>
    <definedName name="PC23_Total">'FormE-TAX'!$J$77</definedName>
    <definedName name="PC23_Total_Written_Premium">'FormE-TAX'!$E$77</definedName>
    <definedName name="PC24_Dividends">'FormE-TAX'!$G$78</definedName>
    <definedName name="PC24_Finance_Srvc_Charges">'FormE-TAX'!$F$78</definedName>
    <definedName name="PC24_Other">'FormE-TAX'!$H$78</definedName>
    <definedName name="PC24_Total">'FormE-TAX'!$J$78</definedName>
    <definedName name="PC24_Total_Written_Premium">'FormE-TAX'!$E$78</definedName>
    <definedName name="PC26_Dividends">'FormE-TAX'!$G$79</definedName>
    <definedName name="PC26_Finance_Srvc_Charges">'FormE-TAX'!$F$79</definedName>
    <definedName name="PC26_Other">'FormE-TAX'!$H$79</definedName>
    <definedName name="PC26_Total">'FormE-TAX'!$J$79</definedName>
    <definedName name="PC26_Total_Written_Premium">'FormE-TAX'!$E$79</definedName>
    <definedName name="PC27_Dividends">'FormE-TAX'!$G$80</definedName>
    <definedName name="PC27_Finance_Srvc_Charges">'FormE-TAX'!$F$80</definedName>
    <definedName name="PC27_Other">'FormE-TAX'!$H$80</definedName>
    <definedName name="PC27_Total">'FormE-TAX'!$J$80</definedName>
    <definedName name="PC27_Total_Written_Premium">'FormE-TAX'!$E$80</definedName>
    <definedName name="PC28_Dividends">'FormE-TAX'!$G$81</definedName>
    <definedName name="PC28_Finance_Srvc_Charges">'FormE-TAX'!$F$81</definedName>
    <definedName name="PC28_Other">'FormE-TAX'!$H$81</definedName>
    <definedName name="PC28_Total">'FormE-TAX'!$J$81</definedName>
    <definedName name="PC28_Total_Written_Premium">'FormE-TAX'!$E$81</definedName>
    <definedName name="PC30_Dividends">'FormE-TAX'!$G$82</definedName>
    <definedName name="PC30_Finance_Srvc_Charges">'FormE-TAX'!$F$82</definedName>
    <definedName name="PC30_Other">'FormE-TAX'!$H$82</definedName>
    <definedName name="PC30_Total">'FormE-TAX'!$J$82</definedName>
    <definedName name="PC30_Total_Written_Premium">'FormE-TAX'!$E$82</definedName>
    <definedName name="PC34_Dividends">'FormE-TAX'!$G$83</definedName>
    <definedName name="PC34_Finance_Srvc_Charges">'FormE-TAX'!$F$83</definedName>
    <definedName name="PC34_Other">'FormE-TAX'!$H$83</definedName>
    <definedName name="PC34_Total">'FormE-TAX'!$J$83</definedName>
    <definedName name="PC34_Total_Written_Premium">'FormE-TAX'!$E$83</definedName>
    <definedName name="_xlnm.Print_Area" localSheetId="2">'FormE-LRTF'!$A$1:$L$19</definedName>
    <definedName name="_xlnm.Print_Area" localSheetId="0">'FormE-TAX'!$A$1:$N$142</definedName>
    <definedName name="_xlnm.Print_Area" localSheetId="1">'FormE-TC'!$A$1:$K$107</definedName>
    <definedName name="State">'FormE-TAX'!$I$139</definedName>
    <definedName name="TC_10">'FormE-TC'!$H$41</definedName>
    <definedName name="tc_11" localSheetId="1">'FormE-TC'!$H$45</definedName>
    <definedName name="tc_12">'FormE-TC'!$H$46</definedName>
    <definedName name="tc_13" localSheetId="1">'FormE-TC'!$H$47</definedName>
    <definedName name="tc_14" localSheetId="1">'FormE-TC'!$H$48</definedName>
    <definedName name="tc_15" localSheetId="1">'FormE-TC'!$H$49</definedName>
    <definedName name="TC_16" localSheetId="1">'FormE-TC'!$J$54</definedName>
    <definedName name="TC_16.1">'FormE-TC'!$D$54</definedName>
    <definedName name="TC_16.2">'FormE-TC'!$F$54</definedName>
    <definedName name="TC_16.3">'FormE-TC'!$H$54</definedName>
    <definedName name="tc_17" localSheetId="1">'FormE-TC'!$H$55</definedName>
    <definedName name="TC_18" localSheetId="1">'FormE-TC'!$J$58</definedName>
    <definedName name="TC_18.1">'FormE-TC'!$F$58</definedName>
    <definedName name="TC_18.2">'FormE-TC'!$H$58</definedName>
    <definedName name="TC_19" localSheetId="1">'FormE-TC'!$H$59</definedName>
    <definedName name="TC_20" localSheetId="1">'FormE-TC'!$H$61</definedName>
    <definedName name="TC_21" localSheetId="1">'FormE-TC'!$J$67</definedName>
    <definedName name="TC_21.1" localSheetId="1">'FormE-TC'!$D$67</definedName>
    <definedName name="TC_21.2" localSheetId="1">'FormE-TC'!$F$67</definedName>
    <definedName name="TC_21.3">'FormE-TC'!$H$67</definedName>
    <definedName name="tc_22" localSheetId="1">'FormE-TC'!$H$68</definedName>
    <definedName name="TC_23" localSheetId="1">'FormE-TC'!$J$71</definedName>
    <definedName name="TC_23.1">'FormE-TC'!$F$71</definedName>
    <definedName name="TC_23.2">'FormE-TC'!$H$71</definedName>
    <definedName name="tc_24" localSheetId="1">'FormE-TC'!$H$72</definedName>
    <definedName name="TC_25" localSheetId="1">'FormE-TC'!$J$78</definedName>
    <definedName name="TC_25.1">'FormE-TC'!$D$78</definedName>
    <definedName name="TC_25.2">'FormE-TC'!$F$78</definedName>
    <definedName name="TC_25.3">'FormE-TC'!$H$78</definedName>
    <definedName name="tc_26" localSheetId="1">'FormE-TC'!$H$79</definedName>
    <definedName name="TC_27" localSheetId="1">'FormE-TC'!$J$82</definedName>
    <definedName name="TC_27.1">'FormE-TC'!$F$82</definedName>
    <definedName name="TC_27.2">'FormE-TC'!$H$82</definedName>
    <definedName name="tc_28" localSheetId="1">'FormE-TC'!$H$83</definedName>
    <definedName name="tc_29" localSheetId="1">'FormE-TC'!$H$84</definedName>
    <definedName name="TC_30" localSheetId="1">'FormE-TC'!$J$90</definedName>
    <definedName name="TC_30.1" localSheetId="1">'FormE-TC'!$D$90</definedName>
    <definedName name="TC_30.2" localSheetId="1">'FormE-TC'!$F$90</definedName>
    <definedName name="TC_30.3">'FormE-TC'!$H$90</definedName>
    <definedName name="tc_31" localSheetId="1">'FormE-TC'!$H$91</definedName>
    <definedName name="TC_32" localSheetId="1">'FormE-TC'!$J$94</definedName>
    <definedName name="TC_32.1">'FormE-TC'!$F$94</definedName>
    <definedName name="TC_32.2">'FormE-TC'!$H$94</definedName>
    <definedName name="tc_33" localSheetId="1">'FormE-TC'!$H$95</definedName>
    <definedName name="TC_34" localSheetId="1">'FormE-TC'!$J$102</definedName>
    <definedName name="TC_34.1">'FormE-TC'!$D$102</definedName>
    <definedName name="TC_34.2">'FormE-TC'!$F$102</definedName>
    <definedName name="TC_34.3">'FormE-TC'!$H$102</definedName>
    <definedName name="TC_35" localSheetId="1">'FormE-TC'!$H$103</definedName>
    <definedName name="TC_36" localSheetId="1">'FormE-TC'!$J$107</definedName>
    <definedName name="TC_36.1">'FormE-TC'!$F$107</definedName>
    <definedName name="TC_36.2">'FormE-TC'!$H$107</definedName>
    <definedName name="TC_8">'FormE-TC'!$H$29</definedName>
    <definedName name="tc_9.1">'FormE-TC'!$D$35</definedName>
    <definedName name="tc_9.10">'FormE-TC'!$D$38</definedName>
    <definedName name="tc_9.11">'FormE-TC'!$F$38</definedName>
    <definedName name="tc_9.12">'FormE-TC'!$H$38</definedName>
    <definedName name="tc_9.13">'FormE-TC'!$D$39</definedName>
    <definedName name="tc_9.14">'FormE-TC'!$F$39</definedName>
    <definedName name="tc_9.15">'FormE-TC'!$H$39</definedName>
    <definedName name="tc_9.2">'FormE-TC'!$F$35</definedName>
    <definedName name="tc_9.3">'FormE-TC'!$H$35</definedName>
    <definedName name="tc_9.4">'FormE-TC'!$D$36</definedName>
    <definedName name="tc_9.5">'FormE-TC'!$F$36</definedName>
    <definedName name="tc_9.6">'FormE-TC'!$H$36</definedName>
    <definedName name="tc_9.7">'FormE-TC'!$D$37</definedName>
    <definedName name="tc_9.8">'FormE-TC'!$F$37</definedName>
    <definedName name="tc_9.9">'FormE-TC'!$H$37</definedName>
    <definedName name="tc_9total">'FormE-TC'!$H$40</definedName>
    <definedName name="TC_AHA" localSheetId="1">'FormE-TC'!$D$17</definedName>
    <definedName name="TC_AHE" localSheetId="1">'FormE-TC'!$F$17</definedName>
    <definedName name="TC_AHF" localSheetId="1">'FormE-TC'!$J$17</definedName>
    <definedName name="TC_AHT" localSheetId="1">'FormE-TC'!$H$17</definedName>
    <definedName name="tc_amendedRpt" localSheetId="1">'FormE-TC'!#REF!</definedName>
    <definedName name="tc_BusType" localSheetId="1">'FormE-TC'!$H$10</definedName>
    <definedName name="tc_Domicile" localSheetId="1">'FormE-TC'!$F$10</definedName>
    <definedName name="tc_EntType" localSheetId="1">'FormE-TC'!$J$10</definedName>
    <definedName name="TC_GFA" localSheetId="1">'FormE-TC'!$D$16</definedName>
    <definedName name="TC_GFE" localSheetId="1">'FormE-TC'!$F$16</definedName>
    <definedName name="TC_GFT" localSheetId="1">'FormE-TC'!$H$16</definedName>
    <definedName name="TC_HCA" localSheetId="1">'FormE-TC'!$D$21</definedName>
    <definedName name="TC_HCE" localSheetId="1">'FormE-TC'!$F$21</definedName>
    <definedName name="TC_HCF" localSheetId="1">'FormE-TC'!$J$21</definedName>
    <definedName name="TC_HCT" localSheetId="1">'FormE-TC'!$H$21</definedName>
    <definedName name="tc_InsurerName" localSheetId="1">'FormE-TC'!$C$10</definedName>
    <definedName name="tc_NAIC" localSheetId="1">'FormE-TC'!$A$10</definedName>
    <definedName name="tc_OrigRpt" localSheetId="1">'FormE-TC'!#REF!</definedName>
    <definedName name="TC_QJA" localSheetId="1">'FormE-TC'!$D$18</definedName>
    <definedName name="TC_QJE" localSheetId="1">'FormE-TC'!$F$18</definedName>
    <definedName name="TC_QJF" localSheetId="1">'FormE-TC'!$J$18</definedName>
    <definedName name="TC_QJT" localSheetId="1">'FormE-TC'!$H$18</definedName>
    <definedName name="TC_S1A" localSheetId="1">'FormE-TC'!$D$19</definedName>
    <definedName name="TC_S1E" localSheetId="1">'FormE-TC'!$F$19</definedName>
    <definedName name="TC_S1F" localSheetId="1">'FormE-TC'!$J$19</definedName>
    <definedName name="TC_S1T" localSheetId="1">'FormE-TC'!$H$19</definedName>
    <definedName name="TC_S2A" localSheetId="1">'FormE-TC'!$D$20</definedName>
    <definedName name="TC_S2E" localSheetId="1">'FormE-TC'!$F$20</definedName>
    <definedName name="TC_S2F" localSheetId="1">'FormE-TC'!$J$20</definedName>
    <definedName name="TC_S2T" localSheetId="1">'FormE-TC'!$H$20</definedName>
    <definedName name="TC_SCE" localSheetId="1">'FormE-TC'!$F$15</definedName>
    <definedName name="TC_SCT" localSheetId="1">'FormE-TC'!$H$15</definedName>
    <definedName name="tc_TaxYear" localSheetId="1">'FormE-TC'!$K$3</definedName>
    <definedName name="TC_TC" localSheetId="1">'FormE-TC'!$H$23</definedName>
    <definedName name="Total_Gross_PT">'FormE-TAX'!$I$131</definedName>
    <definedName name="version">'FormE-TAX'!$L$1</definedName>
    <definedName name="ZIP">'FormE-TAX'!$J$139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7" i="10" l="1"/>
  <c r="H46" i="10"/>
  <c r="H45" i="10"/>
  <c r="H29" i="10"/>
  <c r="H38" i="1" l="1"/>
  <c r="C39" i="1"/>
  <c r="F40" i="1"/>
  <c r="C37" i="1"/>
  <c r="H84" i="1"/>
  <c r="G84" i="1"/>
  <c r="F84" i="1"/>
  <c r="E84" i="1"/>
  <c r="H39" i="10"/>
  <c r="H38" i="10"/>
  <c r="H37" i="10"/>
  <c r="H36" i="10"/>
  <c r="J84" i="1" l="1"/>
  <c r="J59" i="1"/>
  <c r="J58" i="1"/>
  <c r="K17" i="10"/>
  <c r="G17" i="10"/>
  <c r="F81" i="10" l="1"/>
  <c r="H81" i="10"/>
  <c r="C10" i="10" l="1"/>
  <c r="F10" i="10"/>
  <c r="J10" i="10"/>
  <c r="H10" i="10"/>
  <c r="A10" i="10"/>
  <c r="B104" i="10" l="1"/>
  <c r="J21" i="10"/>
  <c r="K21" i="10"/>
  <c r="F21" i="10"/>
  <c r="G21" i="10" s="1"/>
  <c r="Y306" i="10"/>
  <c r="Y307" i="10" s="1"/>
  <c r="Y308" i="10" s="1"/>
  <c r="Y309" i="10" s="1"/>
  <c r="Y310" i="10" s="1"/>
  <c r="Y311" i="10" s="1"/>
  <c r="J107" i="10"/>
  <c r="H106" i="10"/>
  <c r="F106" i="10"/>
  <c r="C105" i="10"/>
  <c r="J102" i="10"/>
  <c r="F101" i="10"/>
  <c r="D101" i="10"/>
  <c r="J94" i="10"/>
  <c r="H93" i="10"/>
  <c r="F93" i="10"/>
  <c r="B92" i="10"/>
  <c r="J90" i="10"/>
  <c r="J20" i="10" s="1"/>
  <c r="K20" i="10" s="1"/>
  <c r="F89" i="10"/>
  <c r="D89" i="10"/>
  <c r="J82" i="10"/>
  <c r="B80" i="10"/>
  <c r="J78" i="10"/>
  <c r="F77" i="10"/>
  <c r="D77" i="10"/>
  <c r="J71" i="10"/>
  <c r="J18" i="10" s="1"/>
  <c r="K18" i="10" s="1"/>
  <c r="H70" i="10"/>
  <c r="F70" i="10"/>
  <c r="B69" i="10"/>
  <c r="J67" i="10"/>
  <c r="F66" i="10"/>
  <c r="D66" i="10"/>
  <c r="J58" i="10"/>
  <c r="J17" i="10" s="1"/>
  <c r="H57" i="10"/>
  <c r="F57" i="10"/>
  <c r="B56" i="10"/>
  <c r="J54" i="10"/>
  <c r="F53" i="10"/>
  <c r="D53" i="10"/>
  <c r="B39" i="10"/>
  <c r="F39" i="10" s="1"/>
  <c r="F38" i="10"/>
  <c r="B38" i="10"/>
  <c r="B37" i="10"/>
  <c r="F37" i="10" s="1"/>
  <c r="F36" i="10"/>
  <c r="B36" i="10"/>
  <c r="B35" i="10"/>
  <c r="F35" i="10" s="1"/>
  <c r="H35" i="10" s="1"/>
  <c r="B33" i="10"/>
  <c r="G20" i="10"/>
  <c r="F20" i="10"/>
  <c r="F19" i="10"/>
  <c r="G19" i="10" s="1"/>
  <c r="G18" i="10"/>
  <c r="F18" i="10"/>
  <c r="F17" i="10"/>
  <c r="F14" i="10"/>
  <c r="L3" i="10"/>
  <c r="Q1" i="10"/>
  <c r="Q2" i="10" s="1"/>
  <c r="J19" i="10" l="1"/>
  <c r="K19" i="10" s="1"/>
  <c r="F16" i="10"/>
  <c r="G16" i="10" s="1"/>
  <c r="H40" i="10"/>
  <c r="H16" i="10"/>
  <c r="J19" i="9"/>
  <c r="G19" i="9"/>
  <c r="J18" i="9"/>
  <c r="G18" i="9"/>
  <c r="J17" i="9"/>
  <c r="G17" i="9"/>
  <c r="J16" i="9"/>
  <c r="G16" i="9"/>
  <c r="J15" i="9"/>
  <c r="G15" i="9"/>
  <c r="J14" i="9"/>
  <c r="G14" i="9"/>
  <c r="J13" i="9"/>
  <c r="G13" i="9"/>
  <c r="J12" i="9"/>
  <c r="G12" i="9"/>
  <c r="J11" i="9"/>
  <c r="G11" i="9"/>
  <c r="J10" i="9"/>
  <c r="G10" i="9"/>
  <c r="J9" i="9"/>
  <c r="G9" i="9"/>
  <c r="J8" i="9"/>
  <c r="G8" i="9"/>
  <c r="J7" i="9"/>
  <c r="G7" i="9"/>
  <c r="J6" i="9"/>
  <c r="G6" i="9"/>
  <c r="J5" i="9"/>
  <c r="G5" i="9"/>
  <c r="J4" i="9"/>
  <c r="G4" i="9"/>
  <c r="I16" i="10" l="1"/>
  <c r="A15" i="1"/>
  <c r="N11" i="1" l="1"/>
  <c r="L110" i="1" l="1"/>
  <c r="L107" i="1"/>
  <c r="L104" i="1"/>
  <c r="L101" i="1"/>
  <c r="L98" i="1"/>
  <c r="L31" i="1"/>
  <c r="L22" i="1"/>
  <c r="L21" i="1"/>
  <c r="I24" i="1"/>
  <c r="K42" i="1" l="1"/>
  <c r="K24" i="10" s="1"/>
  <c r="K62" i="10" s="1"/>
  <c r="B24" i="1" l="1"/>
  <c r="BD285" i="1" l="1"/>
  <c r="BD286" i="1" s="1"/>
  <c r="BD287" i="1" s="1"/>
  <c r="BD288" i="1" s="1"/>
  <c r="BD289" i="1" s="1"/>
  <c r="AQ246" i="1"/>
  <c r="AR246" i="1" s="1"/>
  <c r="AS246" i="1" s="1"/>
  <c r="AT246" i="1" s="1"/>
  <c r="AU246" i="1" s="1"/>
  <c r="AV246" i="1" s="1"/>
  <c r="AW246" i="1" s="1"/>
  <c r="AX246" i="1" s="1"/>
  <c r="AY246" i="1" s="1"/>
  <c r="AZ246" i="1" s="1"/>
  <c r="AG244" i="1"/>
  <c r="A98" i="1"/>
  <c r="B97" i="1"/>
  <c r="C38" i="1"/>
  <c r="G86" i="1"/>
  <c r="J83" i="1"/>
  <c r="J82" i="1"/>
  <c r="J81" i="1"/>
  <c r="J80" i="1"/>
  <c r="J79" i="1"/>
  <c r="J78" i="1"/>
  <c r="J77" i="1"/>
  <c r="J76" i="1"/>
  <c r="J74" i="1"/>
  <c r="J73" i="1"/>
  <c r="J72" i="1"/>
  <c r="J71" i="1"/>
  <c r="J70" i="1"/>
  <c r="J69" i="1"/>
  <c r="G128" i="1" s="1"/>
  <c r="J67" i="1"/>
  <c r="J66" i="1"/>
  <c r="J65" i="1"/>
  <c r="J64" i="1"/>
  <c r="H63" i="1"/>
  <c r="J62" i="1"/>
  <c r="J61" i="1"/>
  <c r="J60" i="1"/>
  <c r="J57" i="1"/>
  <c r="J56" i="1"/>
  <c r="J55" i="1"/>
  <c r="J54" i="1"/>
  <c r="G109" i="1" s="1"/>
  <c r="J53" i="1"/>
  <c r="G106" i="1" s="1"/>
  <c r="J52" i="1"/>
  <c r="G103" i="1" s="1"/>
  <c r="J51" i="1"/>
  <c r="J50" i="1"/>
  <c r="J49" i="1"/>
  <c r="H48" i="1"/>
  <c r="J47" i="1"/>
  <c r="J46" i="1"/>
  <c r="G97" i="1" s="1"/>
  <c r="H37" i="1"/>
  <c r="F37" i="1"/>
  <c r="C40" i="1"/>
  <c r="K119" i="1"/>
  <c r="H31" i="1"/>
  <c r="M24" i="1"/>
  <c r="H24" i="1"/>
  <c r="H23" i="1"/>
  <c r="H22" i="1"/>
  <c r="H21" i="1"/>
  <c r="H20" i="1"/>
  <c r="B20" i="1"/>
  <c r="H19" i="1"/>
  <c r="H18" i="1"/>
  <c r="H17" i="1"/>
  <c r="N12" i="1"/>
  <c r="B98" i="1" l="1"/>
  <c r="B99" i="1"/>
  <c r="A99" i="1"/>
  <c r="G111" i="1"/>
  <c r="J63" i="1"/>
  <c r="J48" i="1"/>
  <c r="AH244" i="1"/>
  <c r="AI244" i="1" s="1"/>
  <c r="F38" i="1"/>
  <c r="G99" i="1"/>
  <c r="G100" i="1"/>
  <c r="G105" i="1"/>
  <c r="G108" i="1"/>
  <c r="K92" i="1"/>
  <c r="A100" i="1" l="1"/>
  <c r="A101" i="1" s="1"/>
  <c r="G102" i="1"/>
  <c r="AJ244" i="1"/>
  <c r="F39" i="1"/>
  <c r="A89" i="1"/>
  <c r="A102" i="1" l="1"/>
  <c r="B102" i="1"/>
  <c r="B101" i="1"/>
  <c r="AK244" i="1"/>
  <c r="A103" i="1" l="1"/>
  <c r="AL244" i="1"/>
  <c r="A104" i="1" l="1"/>
  <c r="B104" i="1"/>
  <c r="B105" i="1"/>
  <c r="AM244" i="1"/>
  <c r="A105" i="1" l="1"/>
  <c r="AN244" i="1"/>
  <c r="A106" i="1" l="1"/>
  <c r="AO244" i="1"/>
  <c r="A107" i="1" l="1"/>
  <c r="B107" i="1"/>
  <c r="B108" i="1"/>
  <c r="AP244" i="1"/>
  <c r="A108" i="1" l="1"/>
  <c r="AQ244" i="1"/>
  <c r="A109" i="1" l="1"/>
  <c r="AR244" i="1"/>
  <c r="A110" i="1" l="1"/>
  <c r="B111" i="1"/>
  <c r="B110" i="1"/>
  <c r="AS244" i="1"/>
  <c r="A111" i="1" l="1"/>
  <c r="B112" i="1"/>
  <c r="G114" i="1"/>
  <c r="I115" i="1" s="1"/>
  <c r="I129" i="1"/>
  <c r="AT244" i="1"/>
  <c r="AU244" i="1" s="1"/>
  <c r="AV244" i="1" s="1"/>
  <c r="AW244" i="1" s="1"/>
  <c r="AX244" i="1" s="1"/>
  <c r="AY244" i="1" s="1"/>
  <c r="AZ244" i="1" s="1"/>
  <c r="G112" i="1"/>
  <c r="B113" i="1" l="1"/>
  <c r="B129" i="1"/>
  <c r="B125" i="1"/>
  <c r="B115" i="1"/>
  <c r="A112" i="1"/>
  <c r="A113" i="1" s="1"/>
  <c r="B114" i="1"/>
  <c r="G124" i="1"/>
  <c r="I125" i="1" s="1"/>
  <c r="M129" i="1"/>
  <c r="J40" i="1"/>
  <c r="I113" i="1"/>
  <c r="H48" i="10" s="1"/>
  <c r="A114" i="1" l="1"/>
  <c r="A115" i="1" s="1"/>
  <c r="A116" i="1" s="1"/>
  <c r="I116" i="1"/>
  <c r="I131" i="1"/>
  <c r="I17" i="1"/>
  <c r="M116" i="1"/>
  <c r="J38" i="1"/>
  <c r="A124" i="1" l="1"/>
  <c r="A125" i="1" s="1"/>
  <c r="A128" i="1" s="1"/>
  <c r="A129" i="1" s="1"/>
  <c r="A131" i="1" s="1"/>
  <c r="B116" i="1"/>
  <c r="B34" i="10"/>
  <c r="H41" i="10"/>
  <c r="H49" i="10" l="1"/>
  <c r="H55" i="10" s="1"/>
  <c r="H59" i="10" s="1"/>
  <c r="H61" i="10" s="1"/>
  <c r="H68" i="10" s="1"/>
  <c r="H72" i="10" s="1"/>
  <c r="H79" i="10" s="1"/>
  <c r="H83" i="10" s="1"/>
  <c r="H84" i="10" s="1"/>
  <c r="H91" i="10" s="1"/>
  <c r="H95" i="10" s="1"/>
  <c r="B131" i="1"/>
  <c r="B66" i="10" l="1"/>
  <c r="D17" i="10"/>
  <c r="E17" i="10" s="1"/>
  <c r="B53" i="10"/>
  <c r="B57" i="10"/>
  <c r="M20" i="1"/>
  <c r="H39" i="1"/>
  <c r="H17" i="10" l="1"/>
  <c r="I17" i="10" s="1"/>
  <c r="D18" i="10"/>
  <c r="E18" i="10" s="1"/>
  <c r="H18" i="10" l="1"/>
  <c r="B70" i="10"/>
  <c r="I18" i="10" l="1"/>
  <c r="D19" i="10"/>
  <c r="E19" i="10" s="1"/>
  <c r="B77" i="10"/>
  <c r="H19" i="10" l="1"/>
  <c r="B81" i="10"/>
  <c r="I19" i="10" l="1"/>
  <c r="D20" i="10"/>
  <c r="E20" i="10" s="1"/>
  <c r="B89" i="10"/>
  <c r="B106" i="10" l="1"/>
  <c r="B93" i="10"/>
  <c r="H20" i="10"/>
  <c r="H21" i="10" l="1"/>
  <c r="I21" i="10" s="1"/>
  <c r="D21" i="10"/>
  <c r="E21" i="10" s="1"/>
  <c r="B101" i="10"/>
  <c r="I20" i="10"/>
  <c r="H23" i="10" l="1"/>
  <c r="I18" i="1" l="1"/>
  <c r="J22" i="10"/>
  <c r="I19" i="1" l="1"/>
  <c r="M33" i="1" s="1"/>
  <c r="H40" i="1"/>
  <c r="A34" i="1"/>
  <c r="A33" i="1"/>
  <c r="I23" i="1"/>
  <c r="B31" i="1" s="1"/>
  <c r="I31" i="1" l="1"/>
  <c r="M31" i="1" s="1"/>
</calcChain>
</file>

<file path=xl/sharedStrings.xml><?xml version="1.0" encoding="utf-8"?>
<sst xmlns="http://schemas.openxmlformats.org/spreadsheetml/2006/main" count="1388" uniqueCount="590">
  <si>
    <t>ANNUAL TAX AND FEES REPORT</t>
  </si>
  <si>
    <t>FORM E-TAX</t>
  </si>
  <si>
    <t xml:space="preserve">for the calendar year ended December 31, </t>
  </si>
  <si>
    <t>PART A.  INFORMATION ABOUT THE INSURER</t>
  </si>
  <si>
    <t>NAIC</t>
  </si>
  <si>
    <t>Insurer Name</t>
  </si>
  <si>
    <t>Business Type Code</t>
  </si>
  <si>
    <t>Entity Type Code</t>
  </si>
  <si>
    <t>Domicile</t>
  </si>
  <si>
    <t>Mailing Address for Tax/Fee Refunds</t>
  </si>
  <si>
    <t>City</t>
  </si>
  <si>
    <t>State</t>
  </si>
  <si>
    <t>ZIP Code</t>
  </si>
  <si>
    <t>Name of Report Preparer</t>
  </si>
  <si>
    <t>Preparer's Email Address</t>
  </si>
  <si>
    <t>Phone Number</t>
  </si>
  <si>
    <t>Mailing Address</t>
  </si>
  <si>
    <t xml:space="preserve">    1</t>
  </si>
  <si>
    <t xml:space="preserve">  GT</t>
  </si>
  <si>
    <t xml:space="preserve">    2</t>
  </si>
  <si>
    <t xml:space="preserve">  TC</t>
  </si>
  <si>
    <t xml:space="preserve">    3</t>
  </si>
  <si>
    <t xml:space="preserve">   IB</t>
  </si>
  <si>
    <t xml:space="preserve">    4</t>
  </si>
  <si>
    <t xml:space="preserve"> RT:4</t>
  </si>
  <si>
    <t xml:space="preserve">    5</t>
  </si>
  <si>
    <t xml:space="preserve">    6</t>
  </si>
  <si>
    <t xml:space="preserve">    7</t>
  </si>
  <si>
    <t xml:space="preserve">    8</t>
  </si>
  <si>
    <t>TIP:(46)</t>
  </si>
  <si>
    <t xml:space="preserve">    9</t>
  </si>
  <si>
    <t>CHG</t>
  </si>
  <si>
    <t>GE</t>
  </si>
  <si>
    <t>SG</t>
  </si>
  <si>
    <t>DIV</t>
  </si>
  <si>
    <t>MCX</t>
  </si>
  <si>
    <t>FC</t>
  </si>
  <si>
    <t>OS</t>
  </si>
  <si>
    <t>FE</t>
  </si>
  <si>
    <t>WC</t>
  </si>
  <si>
    <t>Code 07</t>
  </si>
  <si>
    <t>(a)</t>
  </si>
  <si>
    <t>(b)</t>
  </si>
  <si>
    <t>(c)</t>
  </si>
  <si>
    <t>(d)</t>
  </si>
  <si>
    <t xml:space="preserve">(e) </t>
  </si>
  <si>
    <t>Line of Business</t>
  </si>
  <si>
    <t>Total Written Premium</t>
  </si>
  <si>
    <t>Finance/Srvc Charges*</t>
  </si>
  <si>
    <t>Dividends**</t>
  </si>
  <si>
    <t>Other Subtractions</t>
  </si>
  <si>
    <t xml:space="preserve">PC01    </t>
  </si>
  <si>
    <t>Fire</t>
  </si>
  <si>
    <t xml:space="preserve">PC02.1 </t>
  </si>
  <si>
    <t>Allied lines</t>
  </si>
  <si>
    <t xml:space="preserve">PC02.2 </t>
  </si>
  <si>
    <t>Multiple peril crop (tax exempt)</t>
  </si>
  <si>
    <t xml:space="preserve">PC02.3 </t>
  </si>
  <si>
    <t>Federal flood</t>
  </si>
  <si>
    <t xml:space="preserve">PC02.4 </t>
  </si>
  <si>
    <t>Private crop</t>
  </si>
  <si>
    <t xml:space="preserve">PC03    </t>
  </si>
  <si>
    <t>Farmowners multi-peril</t>
  </si>
  <si>
    <t xml:space="preserve">PC04    </t>
  </si>
  <si>
    <t>Homeowners multi-peril</t>
  </si>
  <si>
    <t xml:space="preserve">PC05.1 </t>
  </si>
  <si>
    <t>Commercial multi-peril non-liability</t>
  </si>
  <si>
    <t xml:space="preserve">PC05.2 </t>
  </si>
  <si>
    <t>Commercial multi-peril liability</t>
  </si>
  <si>
    <t xml:space="preserve">PC06    </t>
  </si>
  <si>
    <t>Mortgage guaranty</t>
  </si>
  <si>
    <t xml:space="preserve">PC08    </t>
  </si>
  <si>
    <t>Ocean marine</t>
  </si>
  <si>
    <t>Inland marine</t>
  </si>
  <si>
    <t xml:space="preserve">PC10    </t>
  </si>
  <si>
    <t>Financial guaranty</t>
  </si>
  <si>
    <t xml:space="preserve">PC11    </t>
  </si>
  <si>
    <t>Medical professional liability</t>
  </si>
  <si>
    <t xml:space="preserve">PC12    </t>
  </si>
  <si>
    <t>Earthquake</t>
  </si>
  <si>
    <t xml:space="preserve">PC16   </t>
  </si>
  <si>
    <t>Workers' compensation (ICA-taxed)</t>
  </si>
  <si>
    <t xml:space="preserve">PC17.1 </t>
  </si>
  <si>
    <t>Other liability - occurrence</t>
  </si>
  <si>
    <t xml:space="preserve">PC17.2 </t>
  </si>
  <si>
    <t>Other liability - claims-made</t>
  </si>
  <si>
    <t xml:space="preserve">PC17.3 </t>
  </si>
  <si>
    <t>Other workers' compensation</t>
  </si>
  <si>
    <t xml:space="preserve">PC18   </t>
  </si>
  <si>
    <t>Products liability</t>
  </si>
  <si>
    <t xml:space="preserve">PC19.1 </t>
  </si>
  <si>
    <t>Private passenger (PP) auto no-fault</t>
  </si>
  <si>
    <t xml:space="preserve">PC19.2 </t>
  </si>
  <si>
    <t>Other PP auto liability</t>
  </si>
  <si>
    <t xml:space="preserve">PC19.3 </t>
  </si>
  <si>
    <t>Commercial auto no-fault</t>
  </si>
  <si>
    <t xml:space="preserve">PC19.4 </t>
  </si>
  <si>
    <t>Other commercial auto liability</t>
  </si>
  <si>
    <t xml:space="preserve">PC21.1 </t>
  </si>
  <si>
    <t>PP auto physical damage</t>
  </si>
  <si>
    <t xml:space="preserve">PC21.2 </t>
  </si>
  <si>
    <t>Commercial auto physical damage</t>
  </si>
  <si>
    <t xml:space="preserve">PC22    </t>
  </si>
  <si>
    <t>Aircraft</t>
  </si>
  <si>
    <t xml:space="preserve">PC23    </t>
  </si>
  <si>
    <t>Fidelity</t>
  </si>
  <si>
    <t xml:space="preserve">PC24    </t>
  </si>
  <si>
    <t>Surety</t>
  </si>
  <si>
    <t xml:space="preserve">PC26    </t>
  </si>
  <si>
    <t>Burglary and theft</t>
  </si>
  <si>
    <t xml:space="preserve">PC27    </t>
  </si>
  <si>
    <t>Boiler and machinery</t>
  </si>
  <si>
    <t xml:space="preserve">PC28    </t>
  </si>
  <si>
    <t>Credit</t>
  </si>
  <si>
    <t xml:space="preserve">PC30    </t>
  </si>
  <si>
    <t>Warranty</t>
  </si>
  <si>
    <t xml:space="preserve">PC34    </t>
  </si>
  <si>
    <t>Aggregate write-ins for other</t>
  </si>
  <si>
    <t>(A)   Total finance and service charges (nearest dollar)*</t>
  </si>
  <si>
    <t>*Allocate finance/service charges to lines of business.  **Dividends paid to policyholders or added to premium written</t>
  </si>
  <si>
    <t>PART E.  GROSS TAX CALCULATION</t>
  </si>
  <si>
    <t>Fire Insurance Tax [ARS § 20-224(B) and (J)]</t>
  </si>
  <si>
    <t>FI</t>
  </si>
  <si>
    <t>FIO</t>
  </si>
  <si>
    <t>Allied lines taxable amount</t>
  </si>
  <si>
    <t>AL</t>
  </si>
  <si>
    <t>ALO</t>
  </si>
  <si>
    <t>Farmowners multi-peril taxable amount</t>
  </si>
  <si>
    <t>FO</t>
  </si>
  <si>
    <t>FOO</t>
  </si>
  <si>
    <t>Homeowners multi-peril taxable amount</t>
  </si>
  <si>
    <t>HO</t>
  </si>
  <si>
    <t>HOO</t>
  </si>
  <si>
    <t>Commercial multi-peril non-liability taxable amount</t>
  </si>
  <si>
    <t>CP</t>
  </si>
  <si>
    <t>CPO</t>
  </si>
  <si>
    <t>F2</t>
  </si>
  <si>
    <t>F2T</t>
  </si>
  <si>
    <t>F1</t>
  </si>
  <si>
    <t>F1T</t>
  </si>
  <si>
    <t>Property and Casualty Insurance Tax [ARS § 20-224(B)]</t>
  </si>
  <si>
    <t>PC</t>
  </si>
  <si>
    <t>PCT</t>
  </si>
  <si>
    <t>Additional Tax on Vehicle Insurance [ARS § 20-224.01]</t>
  </si>
  <si>
    <t>VE</t>
  </si>
  <si>
    <t>LI</t>
  </si>
  <si>
    <t>AH</t>
  </si>
  <si>
    <t>Posts to Page 1, Part C, Line 1 ►</t>
  </si>
  <si>
    <t>ValidStateCodes</t>
  </si>
  <si>
    <t>AK</t>
  </si>
  <si>
    <t>AZ</t>
  </si>
  <si>
    <t>AR</t>
  </si>
  <si>
    <t>CA</t>
  </si>
  <si>
    <t>CO</t>
  </si>
  <si>
    <t>CT</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</si>
  <si>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</si>
  <si>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</si>
  <si>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</si>
  <si>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</si>
  <si>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</si>
  <si>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</si>
  <si>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</si>
  <si>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</si>
  <si>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</si>
  <si>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</si>
  <si>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</si>
  <si>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</si>
  <si>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</si>
  <si>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</si>
  <si>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</si>
  <si>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</si>
  <si>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</si>
  <si>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</si>
  <si>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</si>
  <si>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</si>
  <si>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</si>
  <si>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</si>
  <si>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</si>
  <si>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</si>
  <si>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</si>
  <si>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</si>
  <si>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</si>
  <si>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</si>
  <si>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</si>
  <si>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</si>
  <si>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</si>
  <si>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</si>
  <si>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</si>
  <si>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</si>
  <si>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</si>
  <si>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</si>
  <si>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</si>
  <si>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</si>
  <si>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</si>
  <si>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</si>
  <si>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</si>
  <si>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</si>
  <si>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</si>
  <si>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DC</t>
  </si>
  <si>
    <t>CODE</t>
  </si>
  <si>
    <t>DESCRIPTION</t>
  </si>
  <si>
    <t>C of A</t>
  </si>
  <si>
    <t>A/S</t>
  </si>
  <si>
    <t>ACCREDITED REINSURER</t>
  </si>
  <si>
    <t>AS</t>
  </si>
  <si>
    <t>REINSURER SURPLUS/ARS 20-261.01(A)3 &amp; 6</t>
  </si>
  <si>
    <t>AT</t>
  </si>
  <si>
    <t>REINSURER TRUST/ARS 20-261.01(A)4</t>
  </si>
  <si>
    <t>ASSOCIATION CAPTIVE INSURER</t>
  </si>
  <si>
    <t>CC</t>
  </si>
  <si>
    <t>PROTECTED CELL CAPTIVE</t>
  </si>
  <si>
    <t>CE</t>
  </si>
  <si>
    <t>CERTIFICATE OF EXEMPTION ARS 20-401.05</t>
  </si>
  <si>
    <t>CI</t>
  </si>
  <si>
    <t>CASUALTY INSURER</t>
  </si>
  <si>
    <t>DI</t>
  </si>
  <si>
    <t>DISABILITY INSURER</t>
  </si>
  <si>
    <t>FB</t>
  </si>
  <si>
    <t>FRATERNAL BENEFIT SOCIETY</t>
  </si>
  <si>
    <t>HC</t>
  </si>
  <si>
    <t>HEALTH CARE SERVICES ORGANIZATION</t>
  </si>
  <si>
    <t>LD</t>
  </si>
  <si>
    <t>LIFE &amp; DISABILITY INSURER</t>
  </si>
  <si>
    <t>LIFE INSURER</t>
  </si>
  <si>
    <t>LR</t>
  </si>
  <si>
    <t>LIFE &amp; DISABILITY REINSURER</t>
  </si>
  <si>
    <t>LW</t>
  </si>
  <si>
    <t>LIFE &amp; DISABILITY REINSURER/WRITE DIRECT</t>
  </si>
  <si>
    <t>MG</t>
  </si>
  <si>
    <t>MORTGAGE GUARANTY INSURER</t>
  </si>
  <si>
    <t>ML</t>
  </si>
  <si>
    <t>MULTIPLE LINES INSURER</t>
  </si>
  <si>
    <t>MR</t>
  </si>
  <si>
    <t>MECHANICAL REIMBURSEMENT REINSURER</t>
  </si>
  <si>
    <t>PROPERTY &amp; CASUALTY INSURER</t>
  </si>
  <si>
    <t>PD</t>
  </si>
  <si>
    <t>PREPAID DENTAL PLAN ORGANIZATION</t>
  </si>
  <si>
    <t>PI</t>
  </si>
  <si>
    <t>PROPERTY INSURER</t>
  </si>
  <si>
    <t>PL</t>
  </si>
  <si>
    <t>PREPAID LEGAL INSURER</t>
  </si>
  <si>
    <t>RG</t>
  </si>
  <si>
    <t>RISK RETENTION GROUP</t>
  </si>
  <si>
    <t>SERVICE CORPORATION</t>
  </si>
  <si>
    <t>TI</t>
  </si>
  <si>
    <t>TITLE INSURER</t>
  </si>
  <si>
    <t xml:space="preserve">ASSOCIATION                             </t>
  </si>
  <si>
    <t>EB</t>
  </si>
  <si>
    <t>EMPLOYEE BENEFIT TRUST/VOLUNTARY EB ASSN</t>
  </si>
  <si>
    <t>GV</t>
  </si>
  <si>
    <t xml:space="preserve">GOVERNMENTAL                            </t>
  </si>
  <si>
    <t xml:space="preserve">INDIVIDUAL                              </t>
  </si>
  <si>
    <t>LC</t>
  </si>
  <si>
    <t xml:space="preserve">LIMITED LIABILITY COMPANY               </t>
  </si>
  <si>
    <t>LL</t>
  </si>
  <si>
    <t xml:space="preserve">LLOYDS ASSOCIATION                      </t>
  </si>
  <si>
    <t>MU</t>
  </si>
  <si>
    <t xml:space="preserve">MUTUAL INCORPORATION                    </t>
  </si>
  <si>
    <t>NP</t>
  </si>
  <si>
    <t xml:space="preserve">NON-PROFIT CORPORATION                  </t>
  </si>
  <si>
    <t>OT</t>
  </si>
  <si>
    <t xml:space="preserve">OTHER                                   </t>
  </si>
  <si>
    <t>PT</t>
  </si>
  <si>
    <t xml:space="preserve">PARTNERSHIP                             </t>
  </si>
  <si>
    <t>RE</t>
  </si>
  <si>
    <t xml:space="preserve">RECIPROCAL (INSURANCE EXCHANGE)         </t>
  </si>
  <si>
    <t>ST</t>
  </si>
  <si>
    <t xml:space="preserve">STOCK CORPORATION                       </t>
  </si>
  <si>
    <t>XR</t>
  </si>
  <si>
    <t xml:space="preserve">X-REFERENCE FILE ONLY                   </t>
  </si>
  <si>
    <t>TAX RATES</t>
  </si>
  <si>
    <t>Non-AH</t>
  </si>
  <si>
    <t>Fire-Ord</t>
  </si>
  <si>
    <t>Fire-Qual</t>
  </si>
  <si>
    <t>FIRE ALLOCATIONS</t>
  </si>
  <si>
    <t>Allied</t>
  </si>
  <si>
    <t>Farm</t>
  </si>
  <si>
    <t>CMP-P</t>
  </si>
  <si>
    <t>Code 04</t>
  </si>
  <si>
    <t>Code 46</t>
  </si>
  <si>
    <t>Code 09</t>
  </si>
  <si>
    <t>Code 05</t>
  </si>
  <si>
    <t>FT</t>
  </si>
  <si>
    <t xml:space="preserve">PC02.5 </t>
  </si>
  <si>
    <t>Private flood</t>
  </si>
  <si>
    <t>version</t>
  </si>
  <si>
    <t>Current Year</t>
  </si>
  <si>
    <t>Tax Year</t>
  </si>
  <si>
    <t xml:space="preserve">Parts of this report will be highlighted when additional information is required. </t>
  </si>
  <si>
    <t>Certificate of Authority renewal fee</t>
  </si>
  <si>
    <t>Annual Statement filing fee</t>
  </si>
  <si>
    <t>Business Type:</t>
  </si>
  <si>
    <t>Entity Type:</t>
  </si>
  <si>
    <t>BUSINESS TYPE</t>
  </si>
  <si>
    <t>ENTITY CODE</t>
  </si>
  <si>
    <t>Arizona Department of Insurance and</t>
  </si>
  <si>
    <t>Financial Institutions</t>
  </si>
  <si>
    <t>Insurance Tax Section</t>
  </si>
  <si>
    <t>Installment 1</t>
  </si>
  <si>
    <t>Installment 2</t>
  </si>
  <si>
    <t>Installment 3</t>
  </si>
  <si>
    <t>Installment 4</t>
  </si>
  <si>
    <t>Installment 5</t>
  </si>
  <si>
    <t>Installment 6</t>
  </si>
  <si>
    <t>X</t>
  </si>
  <si>
    <t>Yes</t>
  </si>
  <si>
    <t>No</t>
  </si>
  <si>
    <t>AC</t>
  </si>
  <si>
    <t>AGENCY CAPTIVE</t>
  </si>
  <si>
    <t>PURE CAPTIVE INSURER</t>
  </si>
  <si>
    <t>GC</t>
  </si>
  <si>
    <t>GROUP CAPTIVE</t>
  </si>
  <si>
    <t>LP</t>
  </si>
  <si>
    <t>LIFE CARE PROVIDER (PROVISIONAL PERMIT)</t>
  </si>
  <si>
    <t>MP</t>
  </si>
  <si>
    <t>RISK POOL</t>
  </si>
  <si>
    <t>PG</t>
  </si>
  <si>
    <t>PURCHASING GROUP</t>
  </si>
  <si>
    <t>SV</t>
  </si>
  <si>
    <t>SERVICE COMPANY</t>
  </si>
  <si>
    <t>UR</t>
  </si>
  <si>
    <t>UNAFFILIATED CREDIT LIFE &amp; DIS REINSURER</t>
  </si>
  <si>
    <t>TAX CREDITS CLAIM</t>
  </si>
  <si>
    <t>Arizona Department of Insurance and Financial Institutions</t>
  </si>
  <si>
    <t>FORM E-TC</t>
  </si>
  <si>
    <t>Domcile</t>
  </si>
  <si>
    <t>Bus. Type Code</t>
  </si>
  <si>
    <t>Entity Type Cd.</t>
  </si>
  <si>
    <t>Credit/offset description</t>
  </si>
  <si>
    <t>Prior-year Credit Taken</t>
  </si>
  <si>
    <t>Total Credit Taken/Applied</t>
  </si>
  <si>
    <t>Unused, Forwarded</t>
  </si>
  <si>
    <t>1.</t>
  </si>
  <si>
    <t>2.</t>
  </si>
  <si>
    <t>Arizona Guaranty Fund Offsets</t>
  </si>
  <si>
    <t>4.</t>
  </si>
  <si>
    <t>Quality Jobs Tax Credit</t>
  </si>
  <si>
    <t>5.</t>
  </si>
  <si>
    <t>STO Credit, Low-income Students</t>
  </si>
  <si>
    <t>6.</t>
  </si>
  <si>
    <t>STO Credit, Displaced/Disabled Students</t>
  </si>
  <si>
    <t>7.</t>
  </si>
  <si>
    <t>Health Insurance Certificate Credits</t>
  </si>
  <si>
    <t>8.</t>
  </si>
  <si>
    <t>TOTAL CREDITS</t>
  </si>
  <si>
    <t>9.</t>
  </si>
  <si>
    <t>10.</t>
  </si>
  <si>
    <t>Post to line 1 ►</t>
  </si>
  <si>
    <t>11.</t>
  </si>
  <si>
    <t>Arizona Guaranty Fund Offsets - ARS §§ 20-674, 20-692</t>
  </si>
  <si>
    <t>12.</t>
  </si>
  <si>
    <t>Cert. of Contribution Amt.</t>
  </si>
  <si>
    <t>Maximum Gross Credit</t>
  </si>
  <si>
    <t>Credit Earned/Taken</t>
  </si>
  <si>
    <t>Post to line 2 ►</t>
  </si>
  <si>
    <t>13.</t>
  </si>
  <si>
    <t>Calculation of Tax Eligible for Remaining Tax Credit Deductions</t>
  </si>
  <si>
    <t>14.</t>
  </si>
  <si>
    <t>15.</t>
  </si>
  <si>
    <t>16.</t>
  </si>
  <si>
    <t>17.</t>
  </si>
  <si>
    <t>18.</t>
  </si>
  <si>
    <t>Quality Jobs Tax Credit ("QJTC") - ARS §§ 20-224.03</t>
  </si>
  <si>
    <t>24.</t>
  </si>
  <si>
    <t>Unused Quality Jobs Tax credit earned during the past five years.  Attach a schedule showing the credits earned and used.</t>
  </si>
  <si>
    <t>Prior-year Credits Taken</t>
  </si>
  <si>
    <t>To be Carried Forward</t>
  </si>
  <si>
    <t>Post to line 4 ►</t>
  </si>
  <si>
    <t>25.</t>
  </si>
  <si>
    <t>26.</t>
  </si>
  <si>
    <t>27.</t>
  </si>
  <si>
    <t>School Tuition Organizaton ("STO") Credit, Low-income Students - ARS § 20-224.06</t>
  </si>
  <si>
    <t>28.</t>
  </si>
  <si>
    <t>Unused STO Low-income Student credit earned during the past five years.  Attach a schedule showing the credits earned and used.</t>
  </si>
  <si>
    <t>Post to line 5 ►</t>
  </si>
  <si>
    <t>29.</t>
  </si>
  <si>
    <t>30.</t>
  </si>
  <si>
    <t>31.</t>
  </si>
  <si>
    <t>32.</t>
  </si>
  <si>
    <t>School Tuition Organizaton ("STO") Credit, Disabled/Displaced Students - ARS § 20-224.07</t>
  </si>
  <si>
    <t>33.</t>
  </si>
  <si>
    <t>Unused STO Disabled/Displaced Student credit earned during the past five years.  Attach a schedule showing the credits earned and used.</t>
  </si>
  <si>
    <t>Post to line 6 ►</t>
  </si>
  <si>
    <t>34.</t>
  </si>
  <si>
    <t>35.</t>
  </si>
  <si>
    <t>36.</t>
  </si>
  <si>
    <t>Health Insurance Certificate ("HIC") Credits - ARS § 20-224.05</t>
  </si>
  <si>
    <t>Unused HIC credit earned during the past five years.  Attach a schedule showing the credits earned and used.</t>
  </si>
  <si>
    <t>*</t>
  </si>
  <si>
    <t>Default Tax Year</t>
  </si>
  <si>
    <t>Tax Percentage</t>
  </si>
  <si>
    <t>Alabama</t>
  </si>
  <si>
    <t>Florida</t>
  </si>
  <si>
    <t>Georgia</t>
  </si>
  <si>
    <t>Kentucky</t>
  </si>
  <si>
    <t>Louisiana</t>
  </si>
  <si>
    <t>Minnesota</t>
  </si>
  <si>
    <t>Mississippi</t>
  </si>
  <si>
    <t>New York</t>
  </si>
  <si>
    <t>South Carolina</t>
  </si>
  <si>
    <t>West Virginia</t>
  </si>
  <si>
    <t>PART B.  SUMMARY OF THE AMOUNT YOU OWE OR THE REFUND DUE TO YOU</t>
  </si>
  <si>
    <t>A.  SUMMARY OF CLAIMED TAX CREDITS AND OFFSETS</t>
  </si>
  <si>
    <t>B.  CALCULATION OF TAX CREDITS AND OFFSETS</t>
  </si>
  <si>
    <t>Phone: (602) 364-2713</t>
  </si>
  <si>
    <t xml:space="preserve">Is this an Amendment? </t>
  </si>
  <si>
    <t>R</t>
  </si>
  <si>
    <t>Alaska</t>
  </si>
  <si>
    <t>Arkansas</t>
  </si>
  <si>
    <t>Arizona</t>
  </si>
  <si>
    <t>California</t>
  </si>
  <si>
    <t>Colorado</t>
  </si>
  <si>
    <t>Connecticut</t>
  </si>
  <si>
    <t>The District of Columbia</t>
  </si>
  <si>
    <t>Delaware</t>
  </si>
  <si>
    <t>Hawaii</t>
  </si>
  <si>
    <t>Iowa</t>
  </si>
  <si>
    <t>Idaho</t>
  </si>
  <si>
    <t>Illinois</t>
  </si>
  <si>
    <t>Indiana</t>
  </si>
  <si>
    <t>Kansas</t>
  </si>
  <si>
    <t>Massachussetts</t>
  </si>
  <si>
    <t>Maryland</t>
  </si>
  <si>
    <t>Maine</t>
  </si>
  <si>
    <t>Michigan</t>
  </si>
  <si>
    <t>Missouri</t>
  </si>
  <si>
    <t>Montana</t>
  </si>
  <si>
    <t>North Carolina</t>
  </si>
  <si>
    <t>North Dakota</t>
  </si>
  <si>
    <t>Nebraska</t>
  </si>
  <si>
    <t>New Hampshire</t>
  </si>
  <si>
    <t>New Jersey</t>
  </si>
  <si>
    <t>New Mexico</t>
  </si>
  <si>
    <t>Nevada</t>
  </si>
  <si>
    <t>Ohio</t>
  </si>
  <si>
    <t>Oklahoma</t>
  </si>
  <si>
    <t>Oregon</t>
  </si>
  <si>
    <t>Pennsylvania</t>
  </si>
  <si>
    <t>Rhode Island</t>
  </si>
  <si>
    <t>South Dakota</t>
  </si>
  <si>
    <t>Tennessee</t>
  </si>
  <si>
    <t>Texas</t>
  </si>
  <si>
    <t>Utah</t>
  </si>
  <si>
    <t>Virginia</t>
  </si>
  <si>
    <t>Vermont</t>
  </si>
  <si>
    <t>Washington</t>
  </si>
  <si>
    <t>Wisconsin</t>
  </si>
  <si>
    <t>Wyoming</t>
  </si>
  <si>
    <t>No appointment fee</t>
  </si>
  <si>
    <t>S</t>
  </si>
  <si>
    <t>Appoint Individual</t>
  </si>
  <si>
    <t>Appoint Business</t>
  </si>
  <si>
    <t>Appoint LOA</t>
  </si>
  <si>
    <t>Y</t>
  </si>
  <si>
    <t>Appointment Language</t>
  </si>
  <si>
    <t>L1</t>
  </si>
  <si>
    <t>L3</t>
  </si>
  <si>
    <t>L7</t>
  </si>
  <si>
    <t>L11</t>
  </si>
  <si>
    <t>APPOINTMENT TERM</t>
  </si>
  <si>
    <t>P</t>
  </si>
  <si>
    <t>Individual included in Business Appointment</t>
  </si>
  <si>
    <t>N</t>
  </si>
  <si>
    <t>Renewal Date</t>
  </si>
  <si>
    <t>LH1PC2</t>
  </si>
  <si>
    <t>ICYA</t>
  </si>
  <si>
    <t>&gt;100</t>
  </si>
  <si>
    <t>EVEN</t>
  </si>
  <si>
    <t>Renewal Language</t>
  </si>
  <si>
    <t>L2</t>
  </si>
  <si>
    <t>L4</t>
  </si>
  <si>
    <t>L8</t>
  </si>
  <si>
    <t>L12</t>
  </si>
  <si>
    <t>Appointment Law</t>
  </si>
  <si>
    <t>Ala. Code § 27-7-30</t>
  </si>
  <si>
    <t>A.C.A. § 23-64-514</t>
  </si>
  <si>
    <t>CIC 1704</t>
  </si>
  <si>
    <t>DC ST § 31-1131.14</t>
  </si>
  <si>
    <t>18 Del. C. § 1715</t>
  </si>
  <si>
    <t xml:space="preserve">FS </t>
  </si>
  <si>
    <t>OS §36-1435.15</t>
  </si>
  <si>
    <t>Appoint Nonresident Individual</t>
  </si>
  <si>
    <t xml:space="preserve">Appoint Nonresident Business </t>
  </si>
  <si>
    <t>NR Appointment Language</t>
  </si>
  <si>
    <t>L5</t>
  </si>
  <si>
    <t>L13</t>
  </si>
  <si>
    <t>NR Renewal Language</t>
  </si>
  <si>
    <t>L6</t>
  </si>
  <si>
    <t>L14</t>
  </si>
  <si>
    <t>Termination</t>
  </si>
  <si>
    <t>How many insurance producers (individual and business entities) did you BEGIN employing, contracting with, or otherwise utilizing in Arizona at any time during the tax year?</t>
  </si>
  <si>
    <t>How many insurance producers (individual and business entities) did you CONTINUE TO employ, contract with, or otherwise utilize in Arizona at any time during the tax year?</t>
  </si>
  <si>
    <t>How many individuals licensed as Arizona-resident insurance producers did you BEGIN employing, contracting with, or otherwise utilizing in Arizona at any time during the tax year?</t>
  </si>
  <si>
    <t>How many individuals licensed as Arizona-resident insurance producers did you CONTINUE TO employ, contract with, or otherwise utilize in Arizona at any time during the tax year?</t>
  </si>
  <si>
    <t>How many individuals licensed in Arizona as nonresident insurance producers did you BEGIN employing, contracting with, or otherwise utilizing in Arizona at any time during the tax year?</t>
  </si>
  <si>
    <t>How many individuals licensed in Arizona as nonresident insurance producers did you CONTINUE TO employ, contract with, or otherwise utilize in Arizona at any time during the tax year?</t>
  </si>
  <si>
    <t>How many individuals did you BEGIN employing, contracting with, or otherwise utilizing as insurance producers in Arizona at any time during the tax year?</t>
  </si>
  <si>
    <t>How many individuals did you CONTINUE TO employ, contract with, or otherwise utilize as insurance producers in Arizona at any time during the tax year?</t>
  </si>
  <si>
    <t>How many Arizona-resident individuals and business entities did you BEGIN employing, contracting with, or otherwise utilizing as insurance producers in Arizona at any time during the tax year?</t>
  </si>
  <si>
    <t>How many Arizona-resident individuals and business entities did you CONTINUE TO employ, contract with, or otherwise utilize as insurance producers in Arizona at any time during the tax year?</t>
  </si>
  <si>
    <t>How many individual and business entities licensed in Arizona as nonresident insurance producers did you BEGIN employing, contracting with, or otherwise utilizing in Arizona at any time during the tax year?</t>
  </si>
  <si>
    <t>How many individual and business entities licensed in Arizona as nonresident insurance producers did you CONTINUE TO employ, contract with, or otherwise utilize in Arizona at any time during the tax year?</t>
  </si>
  <si>
    <t>**</t>
  </si>
  <si>
    <t>$60 plus $6 per county where a non-resident insurance producer intends to physically sell, solicit or negotiate insurance.</t>
  </si>
  <si>
    <t>Appointment Term</t>
  </si>
  <si>
    <t>Insurance company year of admission</t>
  </si>
  <si>
    <t>Life/Health-odd; Property/Casualty-even</t>
  </si>
  <si>
    <t>Producers paid $100 or more in commissions</t>
  </si>
  <si>
    <t>1</t>
  </si>
  <si>
    <t>Annual</t>
  </si>
  <si>
    <t>2</t>
  </si>
  <si>
    <t>Biennial</t>
  </si>
  <si>
    <t>Perpetual</t>
  </si>
  <si>
    <t>No Appointment Fee</t>
  </si>
  <si>
    <t>Appoints local agents and general (supervising agents)</t>
  </si>
  <si>
    <t>New</t>
  </si>
  <si>
    <t>Cont</t>
  </si>
  <si>
    <t>Term</t>
  </si>
  <si>
    <t>[a]</t>
  </si>
  <si>
    <t>[b]</t>
  </si>
  <si>
    <t>[c]</t>
  </si>
  <si>
    <t>[a] + [b] + [c]</t>
  </si>
  <si>
    <t>[d]</t>
  </si>
  <si>
    <t>PART D.  GROSS TAX CALCULATION</t>
  </si>
  <si>
    <t>PART E.  INFORMATION ABOUT THE PREPARER - Required*</t>
  </si>
  <si>
    <t>PAYMENTS for counties, cities, towns, etc. during the Calendar Year</t>
  </si>
  <si>
    <t>TOTAL MUNICIPAL TAXES AND FEES</t>
  </si>
  <si>
    <t>[e]</t>
  </si>
  <si>
    <t>[d] + [e]</t>
  </si>
  <si>
    <r>
      <rPr>
        <b/>
        <u/>
        <sz val="10"/>
        <color theme="10"/>
        <rFont val="Archivo"/>
      </rPr>
      <t>Website:</t>
    </r>
    <r>
      <rPr>
        <u/>
        <sz val="10"/>
        <color theme="10"/>
        <rFont val="Archivo"/>
      </rPr>
      <t xml:space="preserve"> http://www.difi.az.gov</t>
    </r>
  </si>
  <si>
    <r>
      <rPr>
        <b/>
        <u/>
        <sz val="10"/>
        <color theme="10"/>
        <rFont val="Archivo"/>
      </rPr>
      <t>Email:</t>
    </r>
    <r>
      <rPr>
        <u/>
        <sz val="10"/>
        <color theme="10"/>
        <rFont val="Archivo"/>
      </rPr>
      <t xml:space="preserve"> taxunit@difi.az.gov</t>
    </r>
  </si>
  <si>
    <r>
      <rPr>
        <b/>
        <sz val="10"/>
        <color theme="8"/>
        <rFont val="Archivo"/>
      </rPr>
      <t>Phone:</t>
    </r>
    <r>
      <rPr>
        <sz val="10"/>
        <color theme="8"/>
        <rFont val="Archivo"/>
      </rPr>
      <t xml:space="preserve"> (602) 364-2713</t>
    </r>
  </si>
  <si>
    <r>
      <t xml:space="preserve">Net premium tax liability </t>
    </r>
    <r>
      <rPr>
        <b/>
        <i/>
        <sz val="10"/>
        <color rgb="FF000000"/>
        <rFont val="Archivo"/>
      </rPr>
      <t>(line 1 minus line 2)</t>
    </r>
  </si>
  <si>
    <r>
      <t xml:space="preserve">Total net tax, retaliation and fee liability </t>
    </r>
    <r>
      <rPr>
        <b/>
        <i/>
        <sz val="10"/>
        <color rgb="FF000000"/>
        <rFont val="Archivo"/>
      </rPr>
      <t>(sum of lines 3 through 6)</t>
    </r>
  </si>
  <si>
    <r>
      <t xml:space="preserve">Taxable Amount </t>
    </r>
    <r>
      <rPr>
        <b/>
        <sz val="9"/>
        <color rgb="FF000000"/>
        <rFont val="Archivo"/>
      </rPr>
      <t>(a)+(b)-(c)-(d)</t>
    </r>
  </si>
  <si>
    <r>
      <t xml:space="preserve">*You must provide information for a </t>
    </r>
    <r>
      <rPr>
        <b/>
        <u/>
        <sz val="12"/>
        <color rgb="FF000000"/>
        <rFont val="Archivo"/>
      </rPr>
      <t>specific individual</t>
    </r>
    <r>
      <rPr>
        <b/>
        <sz val="12"/>
        <color rgb="FF000000"/>
        <rFont val="Archivo"/>
      </rPr>
      <t xml:space="preserve"> we can contact if we have questions.</t>
    </r>
  </si>
  <si>
    <r>
      <rPr>
        <b/>
        <u/>
        <sz val="12"/>
        <color theme="10"/>
        <rFont val="Archivo"/>
      </rPr>
      <t>Website:</t>
    </r>
    <r>
      <rPr>
        <u/>
        <sz val="12"/>
        <color theme="10"/>
        <rFont val="Archivo"/>
      </rPr>
      <t xml:space="preserve"> http://www.difi.az.gov</t>
    </r>
  </si>
  <si>
    <r>
      <rPr>
        <b/>
        <u/>
        <sz val="12"/>
        <color theme="8"/>
        <rFont val="Archivo"/>
      </rPr>
      <t>Email:</t>
    </r>
    <r>
      <rPr>
        <u/>
        <sz val="12"/>
        <color theme="8"/>
        <rFont val="Archivo"/>
      </rPr>
      <t xml:space="preserve"> taxunit@difi.az.gov</t>
    </r>
  </si>
  <si>
    <r>
      <t xml:space="preserve">Arizona Domestic Life/Disability Insurer Credit - ARS § 20-167(D), </t>
    </r>
    <r>
      <rPr>
        <b/>
        <i/>
        <sz val="10"/>
        <color indexed="8"/>
        <rFont val="Archivo"/>
      </rPr>
      <t>repealed from and after December 31, 2017 (Laws 2017, Ch. 299 - HB 2528)</t>
    </r>
  </si>
  <si>
    <r>
      <t>TOTAL Guaranty Fund Offsets</t>
    </r>
    <r>
      <rPr>
        <i/>
        <sz val="11"/>
        <color indexed="8"/>
        <rFont val="Archivo"/>
      </rPr>
      <t xml:space="preserve"> (cannot exceed tax liability)</t>
    </r>
  </si>
  <si>
    <r>
      <t xml:space="preserve">PREMIUMS SUBJECT TO STATE TAX.  </t>
    </r>
    <r>
      <rPr>
        <sz val="10"/>
        <rFont val="Archivo"/>
      </rPr>
      <t>In columns [a], [b] and/or [c] below, enter the premium income (including orphan premiums, finance charges and policy fees) that was subject to taxation by the state (by means of premium taxes, workers' compensation assessments, income taxes, etc.). EXCLUDE amounts that were excluded or exempted from state taxation, such as dividends returned to policyolders, return premiums, annuities if not taxed, etc.  INCLUDE A SCANNED COPY OF EACH STATE TAX REPORT AND A SCANNED COPY OF ANNUAL STATEMENT SCHEDULE T.  If the amount of premiums taxed differs from the premiums shown in your SCHEDULE T, attach a document detailing the differences.</t>
    </r>
  </si>
  <si>
    <r>
      <t xml:space="preserve">GEORGIA COUNTY TAX - </t>
    </r>
    <r>
      <rPr>
        <b/>
        <sz val="11"/>
        <color rgb="FFFF0000"/>
        <rFont val="Archivo"/>
      </rPr>
      <t>Office Of Insurance and Safety Fire Commissioner</t>
    </r>
    <r>
      <rPr>
        <b/>
        <sz val="11"/>
        <rFont val="Archivo"/>
      </rPr>
      <t xml:space="preserve"> ___________ KENTUCKY -     </t>
    </r>
    <r>
      <rPr>
        <b/>
        <sz val="11"/>
        <color rgb="FFFF0000"/>
        <rFont val="Archivo"/>
      </rPr>
      <t>LGT - 141 Quarterly Reports</t>
    </r>
    <r>
      <rPr>
        <b/>
        <sz val="11"/>
        <rFont val="Archivo"/>
      </rPr>
      <t xml:space="preserve"> __________ LOUISIANA - </t>
    </r>
    <r>
      <rPr>
        <b/>
        <sz val="11"/>
        <color rgb="FFFF0000"/>
        <rFont val="Archivo"/>
      </rPr>
      <t>LaMATS</t>
    </r>
    <r>
      <rPr>
        <b/>
        <sz val="11"/>
        <rFont val="Archivo"/>
      </rPr>
      <t xml:space="preserve"> ____________ SOUTH CAROLINA</t>
    </r>
    <r>
      <rPr>
        <b/>
        <sz val="11"/>
        <color rgb="FFFF0000"/>
        <rFont val="Archivo"/>
      </rPr>
      <t xml:space="preserve"> MASC</t>
    </r>
  </si>
  <si>
    <r>
      <t xml:space="preserve">MUNICIPAL TAXES AND FEES. </t>
    </r>
    <r>
      <rPr>
        <sz val="11"/>
        <rFont val="Archivo"/>
      </rPr>
      <t>In columns [d] and [e], enter the taxes and fees. Totals will calculate here.</t>
    </r>
  </si>
  <si>
    <t>Affordable housing premium tax credit - ARS §§ 20-224.04</t>
  </si>
  <si>
    <t>19.</t>
  </si>
  <si>
    <t>Unused Affordable Housing Tax credit earned during the past five years.  Attach a schedule showing the credits earned and used.</t>
  </si>
  <si>
    <t>Post to line 3 ►</t>
  </si>
  <si>
    <t>20.</t>
  </si>
  <si>
    <t>21.</t>
  </si>
  <si>
    <t>22.</t>
  </si>
  <si>
    <t>23.</t>
  </si>
  <si>
    <t>3.</t>
  </si>
  <si>
    <t>Affordable Housing Premium Tax Credit</t>
  </si>
  <si>
    <t>Gross premium tax calculation (from Part D)</t>
  </si>
  <si>
    <r>
      <t xml:space="preserve">Remaining tax liability </t>
    </r>
    <r>
      <rPr>
        <i/>
        <sz val="11"/>
        <color indexed="8"/>
        <rFont val="Archivo"/>
      </rPr>
      <t>(line 8 minus line 9)</t>
    </r>
  </si>
  <si>
    <r>
      <t xml:space="preserve">Remaining tax eligible for remaining tax credit deductions </t>
    </r>
    <r>
      <rPr>
        <i/>
        <sz val="11"/>
        <color indexed="8"/>
        <rFont val="Archivo"/>
      </rPr>
      <t>(line 10 minus line 14)</t>
    </r>
  </si>
  <si>
    <r>
      <t xml:space="preserve">Remaining tax eligible for tax credit deductions  </t>
    </r>
    <r>
      <rPr>
        <i/>
        <sz val="11"/>
        <color theme="1"/>
        <rFont val="Archivo"/>
      </rPr>
      <t>(line 15 minus line 16)</t>
    </r>
  </si>
  <si>
    <r>
      <t xml:space="preserve">Remaining tax eligible for tax credit deductions </t>
    </r>
    <r>
      <rPr>
        <i/>
        <sz val="11"/>
        <color theme="1"/>
        <rFont val="Archivo"/>
      </rPr>
      <t>(line 17 minus line 18)</t>
    </r>
  </si>
  <si>
    <r>
      <t xml:space="preserve">Remaining tax eligible for tax credit deductions </t>
    </r>
    <r>
      <rPr>
        <i/>
        <sz val="11"/>
        <color theme="1"/>
        <rFont val="Archivo"/>
      </rPr>
      <t>(from line 19)</t>
    </r>
  </si>
  <si>
    <r>
      <t xml:space="preserve">Remaining tax eligible for tax credit deductions  </t>
    </r>
    <r>
      <rPr>
        <i/>
        <sz val="11"/>
        <color indexed="8"/>
        <rFont val="Archivo"/>
      </rPr>
      <t>(line 24 minus line 25)</t>
    </r>
  </si>
  <si>
    <r>
      <t xml:space="preserve">Remaining tax eligible for tax credit deductions </t>
    </r>
    <r>
      <rPr>
        <i/>
        <sz val="11"/>
        <color indexed="8"/>
        <rFont val="Archivo"/>
      </rPr>
      <t>(line 26 minus line 27)</t>
    </r>
  </si>
  <si>
    <r>
      <t xml:space="preserve">Remaining tax eligible for tax credit deductions </t>
    </r>
    <r>
      <rPr>
        <i/>
        <sz val="11"/>
        <color indexed="8"/>
        <rFont val="Archivo"/>
      </rPr>
      <t>(from line 28)</t>
    </r>
  </si>
  <si>
    <r>
      <t xml:space="preserve">Remaining tax eligible for tax credit deductions  </t>
    </r>
    <r>
      <rPr>
        <i/>
        <sz val="11"/>
        <color indexed="8"/>
        <rFont val="Archivo"/>
      </rPr>
      <t>(line 29 minus line 30)</t>
    </r>
  </si>
  <si>
    <r>
      <t xml:space="preserve">Remaining tax eligible for tax credit deductions </t>
    </r>
    <r>
      <rPr>
        <i/>
        <sz val="11"/>
        <color indexed="8"/>
        <rFont val="Archivo"/>
      </rPr>
      <t>(line 31 minus line 32)</t>
    </r>
  </si>
  <si>
    <r>
      <t xml:space="preserve">Total credits and offsets </t>
    </r>
    <r>
      <rPr>
        <i/>
        <sz val="10"/>
        <color rgb="FF0070C0"/>
        <rFont val="Archivo"/>
      </rPr>
      <t>(from Form E-TC, line 7, "Credit Applied" column)</t>
    </r>
  </si>
  <si>
    <t>Taxable accident and health (A &amp; H) insurance premium (N/A for PC)</t>
  </si>
  <si>
    <t>Taxable amount for vehicle insurance (Part C, sum of Lines 19.1 through 21.2)</t>
  </si>
  <si>
    <t>PART C.  ANNUAL STATEMENT - ARIZONA STATE PAGE DATA</t>
  </si>
  <si>
    <t>RISK RETENTION GROUP (CAPTIVE)</t>
  </si>
  <si>
    <r>
      <t xml:space="preserve">Gross premium tax </t>
    </r>
    <r>
      <rPr>
        <i/>
        <sz val="11"/>
        <color rgb="FF0070C0"/>
        <rFont val="Archivo"/>
      </rPr>
      <t>(from Form E-TAX, Part B, line 1)</t>
    </r>
  </si>
  <si>
    <r>
      <t>Vehicle insurance tax</t>
    </r>
    <r>
      <rPr>
        <i/>
        <sz val="11"/>
        <color rgb="FF0070C0"/>
        <rFont val="Archivo"/>
      </rPr>
      <t xml:space="preserve"> (from From E-TAX, Part D, line 24)</t>
    </r>
    <r>
      <rPr>
        <sz val="11"/>
        <color rgb="FF0070C0"/>
        <rFont val="Archivo"/>
      </rPr>
      <t xml:space="preserve"> </t>
    </r>
  </si>
  <si>
    <t>COMMENT OR EXPLANATION is required if column D is highlighted yellow.</t>
  </si>
  <si>
    <t>Taxable amount of Property/Casualty Insurance</t>
  </si>
  <si>
    <r>
      <rPr>
        <b/>
        <sz val="12"/>
        <color rgb="FF000000"/>
        <rFont val="Archivo"/>
      </rPr>
      <t xml:space="preserve">Preparer's Attestation:  </t>
    </r>
    <r>
      <rPr>
        <sz val="12"/>
        <color rgb="FF000000"/>
        <rFont val="Archivo"/>
      </rPr>
      <t>By submitting this Report, I hereby certify that it, including but not limited to any forms, statements, schedules, spreadsheets, worksheets and other documentation, is true, complete and correct.</t>
    </r>
  </si>
  <si>
    <t>Property/Casualty Total</t>
  </si>
  <si>
    <t xml:space="preserve">PC09.1    </t>
  </si>
  <si>
    <t xml:space="preserve">PC09.2    </t>
  </si>
  <si>
    <t>Pet Insurance Plans</t>
  </si>
  <si>
    <t>*ONLY APPLIES TO THE QUALITY JOBS TAX CREDIT PER ARS §20-224.01(D)</t>
  </si>
  <si>
    <r>
      <t>Premium tax ineligible for remaining credits</t>
    </r>
    <r>
      <rPr>
        <i/>
        <sz val="11"/>
        <color indexed="8"/>
        <rFont val="Archivo"/>
      </rPr>
      <t xml:space="preserve"> (sum of lines 12 through 13)</t>
    </r>
  </si>
  <si>
    <r>
      <t xml:space="preserve">Remaining tax eligible for tax credit deductions  </t>
    </r>
    <r>
      <rPr>
        <i/>
        <sz val="11"/>
        <color indexed="8"/>
        <rFont val="Archivo"/>
      </rPr>
      <t>(line 20 minus line 11 and 21)</t>
    </r>
  </si>
  <si>
    <r>
      <t xml:space="preserve">Remaining tax eligible for tax credit deductions </t>
    </r>
    <r>
      <rPr>
        <i/>
        <sz val="11"/>
        <color indexed="8"/>
        <rFont val="Archivo"/>
      </rPr>
      <t>(line 22 minus line 23 plus line 11)</t>
    </r>
  </si>
  <si>
    <t>INFORMATION ABOUT THE INSURER</t>
  </si>
  <si>
    <r>
      <t xml:space="preserve">This amount will post to Form E-TAX, Part B, line 2. </t>
    </r>
    <r>
      <rPr>
        <b/>
        <sz val="11"/>
        <color indexed="8"/>
        <rFont val="Archivo"/>
      </rPr>
      <t>►</t>
    </r>
  </si>
  <si>
    <t>LIFE INSURANCE PREMIUMS subject to tax per  state TAX reports</t>
  </si>
  <si>
    <t>ANNUITY CONSIDERATIONS subject to tax per  state tax reports</t>
  </si>
  <si>
    <t>ALL OTHER PREMIUMS subject to tax per  state tax reports</t>
  </si>
  <si>
    <t>TOTAL PREMIUMS subject to tax per  state tax reports</t>
  </si>
  <si>
    <r>
      <t xml:space="preserve">Tax on fire risks for property outside Carefree </t>
    </r>
    <r>
      <rPr>
        <i/>
        <sz val="11"/>
        <color rgb="FF0070C0"/>
        <rFont val="Archivo"/>
      </rPr>
      <t>(from From E-TAX, line 19)</t>
    </r>
  </si>
  <si>
    <r>
      <t xml:space="preserve">Tax on Carefree fire risks </t>
    </r>
    <r>
      <rPr>
        <i/>
        <sz val="11"/>
        <color rgb="FF0070C0"/>
        <rFont val="Archivo"/>
      </rPr>
      <t>(from From E-TAX, line 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</si>
</sst>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000%"/>
  </numFmts>
  <fonts count="96">
    <font>
      <sz val="12"/>
      <color rgb="FF000000"/>
      <name val="Calibri"/>
      <family val="2"/>
    </font>
    <font>
      <u/>
      <sz val="12"/>
      <color theme="10"/>
      <name val="Calibri"/>
      <family val="2"/>
    </font>
    <font>
      <sz val="12"/>
      <color rgb="FF000000"/>
      <name val="Calibri"/>
      <family val="2"/>
    </font>
    <font>
      <sz val="8"/>
      <name val="Calibri"/>
      <family val="2"/>
    </font>
    <font>
      <sz val="10"/>
      <color indexed="8"/>
      <name val="Arial"/>
      <family val="2"/>
    </font>
    <font>
      <b/>
      <sz val="12"/>
      <name val="Arial"/>
      <family val="2"/>
    </font>
    <font>
      <sz val="8"/>
      <name val="Arial Narrow"/>
      <family val="2"/>
    </font>
    <font>
      <sz val="12"/>
      <name val="Arial Narrow"/>
      <family val="2"/>
    </font>
    <font>
      <sz val="12"/>
      <name val="Arial"/>
      <family val="2"/>
    </font>
    <font>
      <sz val="10"/>
      <name val="Arial Narrow"/>
      <family val="2"/>
    </font>
    <font>
      <u/>
      <sz val="12"/>
      <name val="Arial"/>
      <family val="2"/>
    </font>
    <font>
      <u/>
      <sz val="8"/>
      <name val="Arial Narrow"/>
      <family val="2"/>
    </font>
    <font>
      <sz val="12"/>
      <color rgb="FF000000"/>
      <name val="Archivo"/>
    </font>
    <font>
      <b/>
      <sz val="11"/>
      <color rgb="FF000000"/>
      <name val="Archivo"/>
    </font>
    <font>
      <b/>
      <sz val="14"/>
      <color rgb="FF000000"/>
      <name val="Archivo"/>
    </font>
    <font>
      <sz val="12"/>
      <color rgb="FFFFFFFF"/>
      <name val="Archivo"/>
    </font>
    <font>
      <sz val="12"/>
      <color theme="0"/>
      <name val="Archivo"/>
    </font>
    <font>
      <b/>
      <sz val="11"/>
      <name val="Archivo"/>
    </font>
    <font>
      <b/>
      <sz val="12"/>
      <color rgb="FF000000"/>
      <name val="Archivo"/>
    </font>
    <font>
      <i/>
      <sz val="10"/>
      <color rgb="FF000000"/>
      <name val="Archivo"/>
    </font>
    <font>
      <b/>
      <i/>
      <sz val="12"/>
      <color rgb="FF1E4E79"/>
      <name val="Archivo"/>
    </font>
    <font>
      <u/>
      <sz val="10"/>
      <color theme="10"/>
      <name val="Archivo"/>
    </font>
    <font>
      <b/>
      <u/>
      <sz val="10"/>
      <color theme="10"/>
      <name val="Archivo"/>
    </font>
    <font>
      <b/>
      <sz val="9"/>
      <color rgb="FFFF0000"/>
      <name val="Archivo"/>
    </font>
    <font>
      <sz val="10"/>
      <color theme="8"/>
      <name val="Archivo"/>
    </font>
    <font>
      <b/>
      <sz val="10"/>
      <color theme="8"/>
      <name val="Archivo"/>
    </font>
    <font>
      <b/>
      <sz val="12"/>
      <color rgb="FF1E4E79"/>
      <name val="Archivo"/>
    </font>
    <font>
      <sz val="12"/>
      <color rgb="FF1E4E79"/>
      <name val="Archivo"/>
    </font>
    <font>
      <sz val="10"/>
      <color rgb="FF000000"/>
      <name val="Archivo"/>
    </font>
    <font>
      <sz val="9"/>
      <color rgb="FF000000"/>
      <name val="Archivo"/>
    </font>
    <font>
      <b/>
      <sz val="20"/>
      <color rgb="FF1E4E79"/>
      <name val="Archivo"/>
    </font>
    <font>
      <b/>
      <sz val="10"/>
      <color rgb="FF000000"/>
      <name val="Archivo"/>
    </font>
    <font>
      <sz val="12"/>
      <color rgb="FF0070C0"/>
      <name val="Archivo"/>
    </font>
    <font>
      <sz val="10"/>
      <color rgb="FF0070C0"/>
      <name val="Archivo"/>
    </font>
    <font>
      <i/>
      <sz val="10"/>
      <color rgb="FF0070C0"/>
      <name val="Archivo"/>
    </font>
    <font>
      <b/>
      <sz val="12"/>
      <color rgb="FF2E75B5"/>
      <name val="Archivo"/>
    </font>
    <font>
      <b/>
      <i/>
      <sz val="10"/>
      <color rgb="FF000000"/>
      <name val="Archivo"/>
    </font>
    <font>
      <sz val="12"/>
      <color rgb="FF2E75B5"/>
      <name val="Archivo"/>
    </font>
    <font>
      <sz val="10"/>
      <color rgb="FF2E75B5"/>
      <name val="Archivo"/>
    </font>
    <font>
      <sz val="12"/>
      <color rgb="FFFF0000"/>
      <name val="Archivo"/>
    </font>
    <font>
      <b/>
      <sz val="11"/>
      <color rgb="FFFF0000"/>
      <name val="Archivo"/>
    </font>
    <font>
      <b/>
      <i/>
      <sz val="10"/>
      <color rgb="FFFF0000"/>
      <name val="Archivo"/>
    </font>
    <font>
      <i/>
      <sz val="10"/>
      <color rgb="FFFF0000"/>
      <name val="Archivo"/>
    </font>
    <font>
      <b/>
      <sz val="11"/>
      <color rgb="FF1E4E79"/>
      <name val="Archivo"/>
    </font>
    <font>
      <b/>
      <sz val="10"/>
      <color rgb="FF7F7F7F"/>
      <name val="Archivo"/>
    </font>
    <font>
      <b/>
      <sz val="8"/>
      <color rgb="FF000000"/>
      <name val="Archivo"/>
    </font>
    <font>
      <sz val="8"/>
      <color rgb="FF000000"/>
      <name val="Archivo"/>
    </font>
    <font>
      <b/>
      <sz val="12"/>
      <color rgb="FF757070"/>
      <name val="Archivo"/>
    </font>
    <font>
      <b/>
      <sz val="9"/>
      <color rgb="FF000000"/>
      <name val="Archivo"/>
    </font>
    <font>
      <sz val="9"/>
      <color rgb="FF2E75B5"/>
      <name val="Archivo"/>
    </font>
    <font>
      <b/>
      <sz val="9"/>
      <color rgb="FF1E4E79"/>
      <name val="Archivo"/>
    </font>
    <font>
      <b/>
      <sz val="9"/>
      <color rgb="FF7F7F7F"/>
      <name val="Archivo"/>
    </font>
    <font>
      <b/>
      <sz val="12"/>
      <color rgb="FFFF0000"/>
      <name val="Archivo"/>
    </font>
    <font>
      <b/>
      <sz val="10"/>
      <color rgb="FF2E75B5"/>
      <name val="Archivo"/>
    </font>
    <font>
      <b/>
      <i/>
      <sz val="12"/>
      <color rgb="FF000000"/>
      <name val="Archivo"/>
    </font>
    <font>
      <i/>
      <sz val="12"/>
      <color rgb="FF000000"/>
      <name val="Archivo"/>
    </font>
    <font>
      <b/>
      <sz val="12"/>
      <color rgb="FF0070C0"/>
      <name val="Archivo"/>
    </font>
    <font>
      <sz val="10"/>
      <color rgb="FF1E4E79"/>
      <name val="Archivo"/>
    </font>
    <font>
      <b/>
      <sz val="10"/>
      <color rgb="FF1E4E79"/>
      <name val="Archivo"/>
    </font>
    <font>
      <b/>
      <sz val="10"/>
      <color rgb="FF0070C0"/>
      <name val="Archivo"/>
    </font>
    <font>
      <b/>
      <u/>
      <sz val="12"/>
      <color rgb="FF000000"/>
      <name val="Archivo"/>
    </font>
    <font>
      <b/>
      <sz val="12"/>
      <color theme="8"/>
      <name val="Archivo"/>
    </font>
    <font>
      <sz val="16"/>
      <color rgb="FF000000"/>
      <name val="Archivo"/>
    </font>
    <font>
      <sz val="11"/>
      <color rgb="FF000000"/>
      <name val="Archivo"/>
    </font>
    <font>
      <sz val="12"/>
      <color theme="1"/>
      <name val="Archivo"/>
    </font>
    <font>
      <sz val="10"/>
      <color theme="1"/>
      <name val="Archivo"/>
    </font>
    <font>
      <b/>
      <sz val="12"/>
      <color theme="1"/>
      <name val="Archivo"/>
    </font>
    <font>
      <b/>
      <sz val="14"/>
      <color theme="1"/>
      <name val="Archivo"/>
    </font>
    <font>
      <b/>
      <sz val="12"/>
      <name val="Archivo"/>
    </font>
    <font>
      <u/>
      <sz val="12"/>
      <color theme="10"/>
      <name val="Archivo"/>
    </font>
    <font>
      <b/>
      <u/>
      <sz val="12"/>
      <color theme="10"/>
      <name val="Archivo"/>
    </font>
    <font>
      <b/>
      <i/>
      <sz val="12"/>
      <color rgb="FF0070C0"/>
      <name val="Archivo"/>
    </font>
    <font>
      <u/>
      <sz val="12"/>
      <color theme="8"/>
      <name val="Archivo"/>
    </font>
    <font>
      <b/>
      <u/>
      <sz val="12"/>
      <color theme="8"/>
      <name val="Archivo"/>
    </font>
    <font>
      <sz val="12"/>
      <name val="Archivo"/>
    </font>
    <font>
      <b/>
      <sz val="10"/>
      <color theme="1"/>
      <name val="Archivo"/>
    </font>
    <font>
      <sz val="11"/>
      <color theme="1"/>
      <name val="Archivo"/>
    </font>
    <font>
      <b/>
      <sz val="8"/>
      <color theme="1"/>
      <name val="Archivo"/>
    </font>
    <font>
      <b/>
      <sz val="11"/>
      <color theme="1"/>
      <name val="Archivo"/>
    </font>
    <font>
      <b/>
      <sz val="11"/>
      <color indexed="8"/>
      <name val="Archivo"/>
    </font>
    <font>
      <b/>
      <sz val="11"/>
      <color theme="2" tint="-0.499984740745262"/>
      <name val="Archivo"/>
    </font>
    <font>
      <b/>
      <i/>
      <sz val="10"/>
      <color indexed="8"/>
      <name val="Archivo"/>
    </font>
    <font>
      <sz val="11"/>
      <color rgb="FF0070C0"/>
      <name val="Archivo"/>
    </font>
    <font>
      <i/>
      <sz val="11"/>
      <color indexed="8"/>
      <name val="Archivo"/>
    </font>
    <font>
      <sz val="11"/>
      <name val="Archivo"/>
    </font>
    <font>
      <b/>
      <sz val="11"/>
      <color rgb="FF0070C0"/>
      <name val="Archivo"/>
    </font>
    <font>
      <sz val="11"/>
      <color rgb="FFFF0000"/>
      <name val="Archivo"/>
    </font>
    <font>
      <b/>
      <sz val="11"/>
      <color theme="0" tint="-0.499984740745262"/>
      <name val="Archivo"/>
    </font>
    <font>
      <b/>
      <sz val="11"/>
      <color rgb="FF00B050"/>
      <name val="Archivo"/>
    </font>
    <font>
      <sz val="16"/>
      <color indexed="8"/>
      <name val="Archivo"/>
    </font>
    <font>
      <sz val="11"/>
      <color indexed="8"/>
      <name val="Archivo"/>
    </font>
    <font>
      <sz val="10"/>
      <name val="Archivo"/>
    </font>
    <font>
      <b/>
      <sz val="9"/>
      <name val="Archivo"/>
    </font>
    <font>
      <i/>
      <sz val="11"/>
      <color theme="1"/>
      <name val="Archivo"/>
    </font>
    <font>
      <i/>
      <sz val="11"/>
      <color rgb="FF0070C0"/>
      <name val="Archivo"/>
    </font>
    <font>
      <sz val="9"/>
      <color rgb="FFFF0000"/>
      <name val="Archivo"/>
    </font>
  </fonts>
  <fills count="18">
    <fill>
      <patternFill patternType="none"/>
    </fill>
    <fill>
      <patternFill patternType="gray125"/>
    </fill>
    <fill>
      <patternFill patternType="solid">
        <fgColor rgb="FFE7E6E6"/>
        <bgColor indexed="64"/>
      </patternFill>
    </fill>
    <fill>
      <patternFill patternType="solid">
        <fgColor rgb="FFD8D8D8"/>
        <bgColor indexed="64"/>
      </patternFill>
    </fill>
    <fill>
      <patternFill patternType="solid">
        <fgColor rgb="FFC0C0C0"/>
        <bgColor indexed="0"/>
      </patternFill>
    </fill>
    <fill>
      <patternFill patternType="solid">
        <fgColor rgb="FFF2F2F2"/>
        <bgColor indexed="64"/>
      </patternFill>
    </fill>
    <fill>
      <patternFill patternType="solid">
        <fgColor rgb="FFD8D8D8"/>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indexed="22"/>
        <bgColor indexed="0"/>
      </patternFill>
    </fill>
    <fill>
      <patternFill patternType="solid">
        <fgColor theme="3" tint="0.79998168889431442"/>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indexed="22"/>
        <bgColor indexed="64"/>
      </patternFill>
    </fill>
    <fill>
      <patternFill patternType="solid">
        <fgColor theme="1"/>
        <bgColor indexed="64"/>
      </patternFill>
    </fill>
  </fills>
  <borders count="144">
    <border>
      <left/>
      <right/>
      <top/>
      <bottom/>
      <diagonal/>
    </border>
    <border>
      <left/>
      <right/>
      <top/>
      <bottom style="thin">
        <color rgb="FF000000"/>
      </bottom>
      <diagonal/>
    </border>
    <border>
      <left/>
      <right/>
      <top/>
      <bottom style="hair">
        <color rgb="FF000000"/>
      </bottom>
      <diagonal/>
    </border>
    <border>
      <left/>
      <right/>
      <top style="hair">
        <color rgb="FF000000"/>
      </top>
      <bottom style="hair">
        <color rgb="FF000000"/>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diagonal/>
    </border>
    <border>
      <left/>
      <right/>
      <top/>
      <bottom style="medium">
        <color rgb="FF000000"/>
      </bottom>
      <diagonal/>
    </border>
    <border>
      <left/>
      <right style="thin">
        <color rgb="FF000000"/>
      </right>
      <top style="hair">
        <color rgb="FF000000"/>
      </top>
      <bottom style="hair">
        <color rgb="FF000000"/>
      </bottom>
      <diagonal/>
    </border>
    <border>
      <left/>
      <right/>
      <top style="hair">
        <color rgb="FF000000"/>
      </top>
      <bottom/>
      <diagonal/>
    </border>
    <border>
      <left/>
      <right style="thin">
        <color rgb="FF000000"/>
      </right>
      <top/>
      <bottom style="hair">
        <color rgb="FF000000"/>
      </bottom>
      <diagonal/>
    </border>
    <border>
      <left/>
      <right/>
      <top style="thin">
        <color rgb="FF000000"/>
      </top>
      <bottom/>
      <diagonal/>
    </border>
    <border>
      <left/>
      <right style="thin">
        <color rgb="FF000000"/>
      </right>
      <top style="thin">
        <color rgb="FF000000"/>
      </top>
      <bottom/>
      <diagonal/>
    </border>
    <border>
      <left style="thin">
        <color auto="1"/>
      </left>
      <right/>
      <top/>
      <bottom/>
      <diagonal/>
    </border>
    <border>
      <left style="thin">
        <color rgb="FF000000"/>
      </left>
      <right/>
      <top/>
      <bottom style="hair">
        <color rgb="FF000000"/>
      </bottom>
      <diagonal/>
    </border>
    <border>
      <left style="thin">
        <color rgb="FF000000"/>
      </left>
      <right/>
      <top style="hair">
        <color rgb="FF000000"/>
      </top>
      <bottom/>
      <diagonal/>
    </border>
    <border>
      <left style="thin">
        <color rgb="FF000000"/>
      </left>
      <right/>
      <top style="hair">
        <color rgb="FF000000"/>
      </top>
      <bottom style="hair">
        <color rgb="FF000000"/>
      </bottom>
      <diagonal/>
    </border>
    <border>
      <left/>
      <right style="hair">
        <color rgb="FF000000"/>
      </right>
      <top style="thin">
        <color rgb="FF000000"/>
      </top>
      <bottom/>
      <diagonal/>
    </border>
    <border>
      <left/>
      <right style="hair">
        <color rgb="FF000000"/>
      </right>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hair">
        <color rgb="FF000000"/>
      </bottom>
      <diagonal/>
    </border>
    <border>
      <left style="hair">
        <color rgb="FF000000"/>
      </left>
      <right/>
      <top style="thin">
        <color rgb="FF000000"/>
      </top>
      <bottom/>
      <diagonal/>
    </border>
    <border>
      <left style="hair">
        <color rgb="FF000000"/>
      </left>
      <right/>
      <top/>
      <bottom style="hair">
        <color rgb="FF000000"/>
      </bottom>
      <diagonal/>
    </border>
    <border>
      <left style="thin">
        <color rgb="FF000000"/>
      </left>
      <right/>
      <top style="thin">
        <color rgb="FF000000"/>
      </top>
      <bottom style="thin">
        <color auto="1"/>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hair">
        <color rgb="FF000000"/>
      </right>
      <top style="hair">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rgb="FF000000"/>
      </left>
      <right style="hair">
        <color rgb="FF000000"/>
      </right>
      <top/>
      <bottom/>
      <diagonal/>
    </border>
    <border>
      <left style="thin">
        <color auto="1"/>
      </left>
      <right style="thin">
        <color auto="1"/>
      </right>
      <top style="thin">
        <color rgb="FF000000"/>
      </top>
      <bottom/>
      <diagonal/>
    </border>
    <border>
      <left/>
      <right style="hair">
        <color rgb="FF000000"/>
      </right>
      <top/>
      <bottom style="thin">
        <color rgb="FF000000"/>
      </bottom>
      <diagonal/>
    </border>
    <border>
      <left style="hair">
        <color rgb="FF000000"/>
      </left>
      <right/>
      <top/>
      <bottom style="thin">
        <color rgb="FF000000"/>
      </bottom>
      <diagonal/>
    </border>
    <border>
      <left style="hair">
        <color rgb="FF000000"/>
      </left>
      <right style="hair">
        <color rgb="FF000000"/>
      </right>
      <top/>
      <bottom style="thin">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right/>
      <top style="hair">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rgb="FF000000"/>
      </left>
      <right style="thin">
        <color rgb="FF000000"/>
      </right>
      <top/>
      <bottom/>
      <diagonal/>
    </border>
    <border>
      <left style="thin">
        <color rgb="FF000000"/>
      </left>
      <right style="thin">
        <color rgb="FF000000"/>
      </right>
      <top style="medium">
        <color rgb="FF000000"/>
      </top>
      <bottom style="thin">
        <color rgb="FF000000"/>
      </bottom>
      <diagonal/>
    </border>
    <border>
      <left/>
      <right/>
      <top style="hair">
        <color rgb="FF000000"/>
      </top>
      <bottom style="medium">
        <color rgb="FF000000"/>
      </bottom>
      <diagonal/>
    </border>
    <border>
      <left/>
      <right/>
      <top/>
      <bottom style="thick">
        <color rgb="FF1E4E79"/>
      </bottom>
      <diagonal/>
    </border>
    <border>
      <left/>
      <right/>
      <top style="thick">
        <color rgb="FF1E4E79"/>
      </top>
      <bottom style="hair">
        <color rgb="FF000000"/>
      </bottom>
      <diagonal/>
    </border>
    <border>
      <left/>
      <right style="hair">
        <color rgb="FF000000"/>
      </right>
      <top style="thick">
        <color rgb="FF1E4E79"/>
      </top>
      <bottom style="hair">
        <color rgb="FF000000"/>
      </bottom>
      <diagonal/>
    </border>
    <border>
      <left/>
      <right style="hair">
        <color rgb="FF000000"/>
      </right>
      <top style="hair">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C0C0C0"/>
      </left>
      <right style="thin">
        <color rgb="FFC0C0C0"/>
      </right>
      <top style="thin">
        <color rgb="FFC0C0C0"/>
      </top>
      <bottom style="thin">
        <color rgb="FFC0C0C0"/>
      </bottom>
      <diagonal/>
    </border>
    <border>
      <left style="hair">
        <color rgb="FF000000"/>
      </left>
      <right/>
      <top/>
      <bottom style="medium">
        <color rgb="FF000000"/>
      </bottom>
      <diagonal/>
    </border>
    <border>
      <left/>
      <right style="hair">
        <color rgb="FF1E4E79"/>
      </right>
      <top style="thick">
        <color rgb="FF1E4E79"/>
      </top>
      <bottom style="hair">
        <color rgb="FF000000"/>
      </bottom>
      <diagonal/>
    </border>
    <border>
      <left/>
      <right style="hair">
        <color rgb="FF1E4E79"/>
      </right>
      <top style="hair">
        <color rgb="FF000000"/>
      </top>
      <bottom style="hair">
        <color rgb="FF000000"/>
      </bottom>
      <diagonal/>
    </border>
    <border>
      <left/>
      <right style="hair">
        <color rgb="FF1E4E79"/>
      </right>
      <top style="hair">
        <color rgb="FF000000"/>
      </top>
      <bottom style="medium">
        <color rgb="FF000000"/>
      </bottom>
      <diagonal/>
    </border>
    <border>
      <left style="hair">
        <color rgb="FF1E4E79"/>
      </left>
      <right/>
      <top style="thick">
        <color rgb="FF1E4E79"/>
      </top>
      <bottom/>
      <diagonal/>
    </border>
    <border>
      <left/>
      <right/>
      <top style="thick">
        <color rgb="FF1E4E79"/>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style="hair">
        <color rgb="FF1E4E79"/>
      </left>
      <right/>
      <top style="hair">
        <color rgb="FF000000"/>
      </top>
      <bottom style="medium">
        <color rgb="FF000000"/>
      </bottom>
      <diagonal/>
    </border>
    <border>
      <left/>
      <right style="thin">
        <color rgb="FF000000"/>
      </right>
      <top style="hair">
        <color rgb="FF000000"/>
      </top>
      <bottom style="medium">
        <color rgb="FF000000"/>
      </bottom>
      <diagonal/>
    </border>
    <border>
      <left style="hair">
        <color rgb="FF1E4E79"/>
      </left>
      <right/>
      <top style="hair">
        <color rgb="FF000000"/>
      </top>
      <bottom style="hair">
        <color rgb="FF000000"/>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hair">
        <color rgb="FF000000"/>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rgb="FF000000"/>
      </right>
      <top/>
      <bottom style="thin">
        <color rgb="FF000000"/>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style="thin">
        <color indexed="64"/>
      </right>
      <top/>
      <bottom style="hair">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style="thin">
        <color indexed="64"/>
      </top>
      <bottom/>
      <diagonal/>
    </border>
    <border>
      <left/>
      <right style="thick">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rgb="FF000000"/>
      </left>
      <right/>
      <top/>
      <bottom/>
      <diagonal/>
    </border>
    <border>
      <left/>
      <right style="thin">
        <color rgb="FF000000"/>
      </right>
      <top/>
      <bottom/>
      <diagonal/>
    </border>
    <border>
      <left style="thin">
        <color rgb="FF000000"/>
      </left>
      <right/>
      <top style="thin">
        <color auto="1"/>
      </top>
      <bottom/>
      <diagonal/>
    </border>
    <border>
      <left/>
      <right style="thin">
        <color rgb="FF000000"/>
      </right>
      <top style="thin">
        <color auto="1"/>
      </top>
      <bottom/>
      <diagonal/>
    </border>
    <border>
      <left style="thin">
        <color rgb="FF000000"/>
      </left>
      <right/>
      <top style="thin">
        <color rgb="FF000000"/>
      </top>
      <bottom style="thin">
        <color rgb="FF000000"/>
      </bottom>
      <diagonal/>
    </border>
    <border>
      <left style="thick">
        <color rgb="FF0070C0"/>
      </left>
      <right/>
      <top style="thin">
        <color indexed="64"/>
      </top>
      <bottom style="thick">
        <color rgb="FF0070C0"/>
      </bottom>
      <diagonal/>
    </border>
    <border>
      <left style="thin">
        <color indexed="64"/>
      </left>
      <right style="thin">
        <color indexed="64"/>
      </right>
      <top style="thin">
        <color indexed="64"/>
      </top>
      <bottom style="thick">
        <color rgb="FF0070C0"/>
      </bottom>
      <diagonal/>
    </border>
    <border>
      <left style="thin">
        <color indexed="64"/>
      </left>
      <right style="thick">
        <color rgb="FF0070C0"/>
      </right>
      <top style="thin">
        <color indexed="64"/>
      </top>
      <bottom style="thick">
        <color rgb="FF0070C0"/>
      </bottom>
      <diagonal/>
    </border>
    <border>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style="medium">
        <color rgb="FF000000"/>
      </bottom>
      <diagonal/>
    </border>
    <border>
      <left style="hair">
        <color indexed="64"/>
      </left>
      <right style="hair">
        <color indexed="64"/>
      </right>
      <top style="hair">
        <color indexed="64"/>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ck">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1" fillId="0" borderId="0" applyNumberFormat="0" applyFill="0" applyBorder="0" applyAlignment="0" applyProtection="0"/>
    <xf numFmtId="43" fontId="2" fillId="0" borderId="0" applyFont="0" applyFill="0" applyBorder="0" applyAlignment="0" applyProtection="0"/>
    <xf numFmtId="0" fontId="4" fillId="0" borderId="0"/>
  </cellStyleXfs>
  <cellXfs count="578">
    <xf numFmtId="0" fontId="0" fillId="0" borderId="0" xfId="0"/>
    <xf numFmtId="0" fontId="0" fillId="0" borderId="0" xfId="0" quotePrefix="1"/>
    <xf numFmtId="9" fontId="0" fillId="0" borderId="0" xfId="0" applyNumberFormat="1"/>
    <xf numFmtId="0" fontId="0" fillId="16" borderId="109" xfId="0" applyFill="1" applyBorder="1"/>
    <xf numFmtId="0" fontId="5" fillId="16" borderId="109" xfId="0" applyFont="1" applyFill="1" applyBorder="1" applyAlignment="1">
      <alignment horizontal="center"/>
    </xf>
    <xf numFmtId="0" fontId="6" fillId="16" borderId="109" xfId="0" applyFont="1" applyFill="1" applyBorder="1" applyAlignment="1">
      <alignment horizontal="center"/>
    </xf>
    <xf numFmtId="0" fontId="7" fillId="0" borderId="109" xfId="0" applyFont="1" applyBorder="1"/>
    <xf numFmtId="0" fontId="0" fillId="16" borderId="109" xfId="0" applyFill="1" applyBorder="1" applyAlignment="1">
      <alignment horizontal="right"/>
    </xf>
    <xf numFmtId="0" fontId="0" fillId="0" borderId="109" xfId="0" applyBorder="1" applyAlignment="1">
      <alignment horizontal="right"/>
    </xf>
    <xf numFmtId="0" fontId="0" fillId="0" borderId="84" xfId="0" applyBorder="1" applyAlignment="1">
      <alignment horizontal="right"/>
    </xf>
    <xf numFmtId="0" fontId="0" fillId="0" borderId="85" xfId="0" applyBorder="1" applyAlignment="1">
      <alignment horizontal="right"/>
    </xf>
    <xf numFmtId="0" fontId="8" fillId="16" borderId="109" xfId="0" applyFont="1" applyFill="1" applyBorder="1" applyAlignment="1">
      <alignment horizontal="right"/>
    </xf>
    <xf numFmtId="0" fontId="8" fillId="0" borderId="109" xfId="0" applyFont="1" applyBorder="1" applyAlignment="1">
      <alignment horizontal="right"/>
    </xf>
    <xf numFmtId="0" fontId="8" fillId="0" borderId="85" xfId="0" applyFont="1" applyBorder="1" applyAlignment="1">
      <alignment horizontal="right"/>
    </xf>
    <xf numFmtId="0" fontId="9" fillId="16" borderId="109" xfId="0" applyFont="1" applyFill="1" applyBorder="1" applyAlignment="1">
      <alignment horizontal="right"/>
    </xf>
    <xf numFmtId="0" fontId="9" fillId="0" borderId="109" xfId="0" applyFont="1" applyBorder="1" applyAlignment="1">
      <alignment horizontal="right"/>
    </xf>
    <xf numFmtId="0" fontId="9" fillId="0" borderId="85" xfId="0" applyFont="1" applyBorder="1" applyAlignment="1">
      <alignment horizontal="right"/>
    </xf>
    <xf numFmtId="0" fontId="6" fillId="0" borderId="0" xfId="0" applyFont="1"/>
    <xf numFmtId="0" fontId="10" fillId="0" borderId="0" xfId="0" applyFont="1"/>
    <xf numFmtId="0" fontId="11" fillId="0" borderId="0" xfId="0" applyFont="1"/>
    <xf numFmtId="0" fontId="12" fillId="0" borderId="0" xfId="0" applyFont="1"/>
    <xf numFmtId="0" fontId="13" fillId="0" borderId="0" xfId="0" applyFont="1"/>
    <xf numFmtId="43" fontId="12" fillId="0" borderId="0" xfId="0" applyNumberFormat="1" applyFont="1"/>
    <xf numFmtId="0" fontId="14" fillId="0" borderId="0" xfId="0" applyFont="1" applyAlignment="1">
      <alignment horizontal="right"/>
    </xf>
    <xf numFmtId="0" fontId="15" fillId="0" borderId="0" xfId="0" applyFont="1"/>
    <xf numFmtId="0" fontId="16" fillId="10" borderId="0" xfId="0" applyFont="1" applyFill="1"/>
    <xf numFmtId="0" fontId="17" fillId="7" borderId="71" xfId="0" applyFont="1" applyFill="1" applyBorder="1"/>
    <xf numFmtId="0" fontId="18" fillId="7" borderId="72" xfId="0" applyFont="1" applyFill="1" applyBorder="1"/>
    <xf numFmtId="0" fontId="18" fillId="7" borderId="73" xfId="0" applyFont="1" applyFill="1" applyBorder="1"/>
    <xf numFmtId="0" fontId="18" fillId="0" borderId="0" xfId="0" applyFont="1" applyAlignment="1">
      <alignment horizontal="right"/>
    </xf>
    <xf numFmtId="0" fontId="17" fillId="7" borderId="4" xfId="0" applyFont="1" applyFill="1" applyBorder="1"/>
    <xf numFmtId="0" fontId="18" fillId="7" borderId="74" xfId="0" applyFont="1" applyFill="1" applyBorder="1"/>
    <xf numFmtId="0" fontId="18" fillId="7" borderId="5" xfId="0" applyFont="1" applyFill="1" applyBorder="1"/>
    <xf numFmtId="0" fontId="19" fillId="0" borderId="0" xfId="0" applyFont="1" applyAlignment="1">
      <alignment horizontal="right"/>
    </xf>
    <xf numFmtId="1" fontId="20" fillId="0" borderId="8" xfId="0" applyNumberFormat="1" applyFont="1" applyBorder="1" applyAlignment="1" applyProtection="1">
      <alignment horizontal="center"/>
      <protection locked="0"/>
    </xf>
    <xf numFmtId="0" fontId="21" fillId="0" borderId="0" xfId="1" applyFont="1" applyAlignment="1" applyProtection="1"/>
    <xf numFmtId="0" fontId="23" fillId="0" borderId="0" xfId="0" applyFont="1" applyAlignment="1">
      <alignment horizontal="right"/>
    </xf>
    <xf numFmtId="0" fontId="18" fillId="0" borderId="0" xfId="0" applyFont="1"/>
    <xf numFmtId="0" fontId="24" fillId="0" borderId="0" xfId="0" applyFont="1"/>
    <xf numFmtId="49" fontId="27" fillId="0" borderId="0" xfId="0" applyNumberFormat="1" applyFont="1" applyAlignment="1">
      <alignment horizontal="center"/>
    </xf>
    <xf numFmtId="0" fontId="18" fillId="0" borderId="1" xfId="0" applyFont="1" applyBorder="1"/>
    <xf numFmtId="0" fontId="12" fillId="0" borderId="1" xfId="0" applyFont="1" applyBorder="1"/>
    <xf numFmtId="43" fontId="12" fillId="0" borderId="1" xfId="0" applyNumberFormat="1" applyFont="1" applyBorder="1"/>
    <xf numFmtId="0" fontId="29" fillId="0" borderId="0" xfId="0" applyFont="1"/>
    <xf numFmtId="0" fontId="12" fillId="0" borderId="12" xfId="0" applyFont="1" applyBorder="1"/>
    <xf numFmtId="0" fontId="12" fillId="0" borderId="0" xfId="0" applyFont="1" applyAlignment="1">
      <alignment horizontal="right"/>
    </xf>
    <xf numFmtId="0" fontId="18" fillId="2" borderId="7" xfId="0" applyFont="1" applyFill="1" applyBorder="1" applyAlignment="1">
      <alignment horizontal="center" vertical="center"/>
    </xf>
    <xf numFmtId="49" fontId="26" fillId="8" borderId="5" xfId="0" applyNumberFormat="1" applyFont="1" applyFill="1" applyBorder="1" applyAlignment="1" applyProtection="1">
      <alignment horizontal="center" vertical="center"/>
      <protection locked="0"/>
    </xf>
    <xf numFmtId="0" fontId="18" fillId="0" borderId="1" xfId="0" applyFont="1" applyBorder="1" applyAlignment="1">
      <alignment horizontal="centerContinuous"/>
    </xf>
    <xf numFmtId="43" fontId="18" fillId="0" borderId="1" xfId="0" applyNumberFormat="1" applyFont="1" applyBorder="1" applyAlignment="1">
      <alignment horizontal="centerContinuous"/>
    </xf>
    <xf numFmtId="0" fontId="12" fillId="0" borderId="0" xfId="0" applyFont="1" applyAlignment="1">
      <alignment horizontal="center"/>
    </xf>
    <xf numFmtId="0" fontId="12" fillId="0" borderId="2" xfId="0" applyFont="1" applyBorder="1" applyAlignment="1">
      <alignment vertical="top"/>
    </xf>
    <xf numFmtId="0" fontId="28" fillId="0" borderId="2" xfId="0" applyFont="1" applyBorder="1" applyAlignment="1">
      <alignment vertical="top"/>
    </xf>
    <xf numFmtId="43" fontId="12" fillId="0" borderId="2" xfId="0" applyNumberFormat="1" applyFont="1" applyBorder="1" applyAlignment="1">
      <alignment vertical="top"/>
    </xf>
    <xf numFmtId="0" fontId="12" fillId="0" borderId="102" xfId="0" applyFont="1" applyBorder="1"/>
    <xf numFmtId="0" fontId="31" fillId="0" borderId="0" xfId="0" applyFont="1"/>
    <xf numFmtId="0" fontId="31" fillId="0" borderId="75" xfId="0" applyFont="1" applyBorder="1"/>
    <xf numFmtId="0" fontId="32" fillId="0" borderId="3" xfId="0" applyFont="1" applyBorder="1" applyAlignment="1">
      <alignment vertical="top"/>
    </xf>
    <xf numFmtId="0" fontId="33" fillId="0" borderId="3" xfId="0" applyFont="1" applyBorder="1" applyAlignment="1">
      <alignment vertical="top"/>
    </xf>
    <xf numFmtId="0" fontId="12" fillId="0" borderId="3" xfId="0" applyFont="1" applyBorder="1" applyAlignment="1">
      <alignment vertical="top"/>
    </xf>
    <xf numFmtId="43" fontId="12" fillId="0" borderId="3" xfId="0" applyNumberFormat="1" applyFont="1" applyBorder="1" applyAlignment="1">
      <alignment vertical="top"/>
    </xf>
    <xf numFmtId="0" fontId="32" fillId="0" borderId="102" xfId="0" applyFont="1" applyBorder="1"/>
    <xf numFmtId="0" fontId="31" fillId="0" borderId="3" xfId="0" applyFont="1" applyBorder="1" applyAlignment="1">
      <alignment vertical="top"/>
    </xf>
    <xf numFmtId="0" fontId="37" fillId="0" borderId="3" xfId="0" applyFont="1" applyBorder="1" applyAlignment="1">
      <alignment vertical="top"/>
    </xf>
    <xf numFmtId="0" fontId="37" fillId="0" borderId="76" xfId="0" applyFont="1" applyBorder="1"/>
    <xf numFmtId="0" fontId="31" fillId="0" borderId="0" xfId="0" applyFont="1" applyAlignment="1">
      <alignment horizontal="center" wrapText="1"/>
    </xf>
    <xf numFmtId="0" fontId="31" fillId="0" borderId="75" xfId="0" applyFont="1" applyBorder="1" applyAlignment="1">
      <alignment horizontal="center" wrapText="1"/>
    </xf>
    <xf numFmtId="0" fontId="39" fillId="0" borderId="3" xfId="0" applyFont="1" applyBorder="1" applyAlignment="1">
      <alignment vertical="top"/>
    </xf>
    <xf numFmtId="0" fontId="12" fillId="0" borderId="103" xfId="0" applyFont="1" applyBorder="1"/>
    <xf numFmtId="0" fontId="31" fillId="0" borderId="0" xfId="0" applyFont="1" applyAlignment="1">
      <alignment horizontal="center"/>
    </xf>
    <xf numFmtId="0" fontId="31" fillId="0" borderId="75" xfId="0" applyFont="1" applyBorder="1" applyAlignment="1">
      <alignment horizontal="center"/>
    </xf>
    <xf numFmtId="0" fontId="12" fillId="0" borderId="70" xfId="0" applyFont="1" applyBorder="1" applyAlignment="1">
      <alignment vertical="top"/>
    </xf>
    <xf numFmtId="39" fontId="18" fillId="0" borderId="0" xfId="0" applyNumberFormat="1" applyFont="1"/>
    <xf numFmtId="0" fontId="41" fillId="7" borderId="0" xfId="0" applyFont="1" applyFill="1" applyAlignment="1">
      <alignment vertical="top"/>
    </xf>
    <xf numFmtId="0" fontId="40" fillId="7" borderId="66" xfId="0" applyFont="1" applyFill="1" applyBorder="1" applyAlignment="1">
      <alignment wrapText="1"/>
    </xf>
    <xf numFmtId="0" fontId="40" fillId="7" borderId="67" xfId="0" applyFont="1" applyFill="1" applyBorder="1" applyAlignment="1">
      <alignment wrapText="1"/>
    </xf>
    <xf numFmtId="0" fontId="16" fillId="0" borderId="0" xfId="0" applyFont="1"/>
    <xf numFmtId="0" fontId="41" fillId="7" borderId="68" xfId="0" applyFont="1" applyFill="1" applyBorder="1" applyAlignment="1">
      <alignment vertical="top"/>
    </xf>
    <xf numFmtId="0" fontId="31" fillId="7" borderId="68" xfId="0" applyFont="1" applyFill="1" applyBorder="1"/>
    <xf numFmtId="43" fontId="31" fillId="7" borderId="68" xfId="0" applyNumberFormat="1" applyFont="1" applyFill="1" applyBorder="1"/>
    <xf numFmtId="39" fontId="31" fillId="7" borderId="68" xfId="0" applyNumberFormat="1" applyFont="1" applyFill="1" applyBorder="1"/>
    <xf numFmtId="0" fontId="31" fillId="7" borderId="69" xfId="0" applyFont="1" applyFill="1" applyBorder="1"/>
    <xf numFmtId="0" fontId="42" fillId="0" borderId="0" xfId="0" applyFont="1" applyAlignment="1">
      <alignment vertical="top"/>
    </xf>
    <xf numFmtId="0" fontId="43" fillId="0" borderId="49" xfId="0" applyFont="1" applyBorder="1" applyAlignment="1">
      <alignment vertical="top"/>
    </xf>
    <xf numFmtId="0" fontId="12" fillId="0" borderId="49" xfId="0" applyFont="1" applyBorder="1"/>
    <xf numFmtId="43" fontId="12" fillId="0" borderId="49" xfId="0" applyNumberFormat="1" applyFont="1" applyBorder="1"/>
    <xf numFmtId="0" fontId="44" fillId="2" borderId="2" xfId="0" applyFont="1" applyFill="1" applyBorder="1" applyAlignment="1">
      <alignment horizontal="right"/>
    </xf>
    <xf numFmtId="164" fontId="45" fillId="2" borderId="51" xfId="0" applyNumberFormat="1" applyFont="1" applyFill="1" applyBorder="1"/>
    <xf numFmtId="43" fontId="44" fillId="2" borderId="2" xfId="0" applyNumberFormat="1" applyFont="1" applyFill="1" applyBorder="1" applyAlignment="1">
      <alignment horizontal="right"/>
    </xf>
    <xf numFmtId="43" fontId="44" fillId="2" borderId="59" xfId="0" applyNumberFormat="1" applyFont="1" applyFill="1" applyBorder="1" applyAlignment="1">
      <alignment horizontal="right"/>
    </xf>
    <xf numFmtId="43" fontId="46" fillId="2" borderId="60" xfId="0" applyNumberFormat="1" applyFont="1" applyFill="1" applyBorder="1" applyAlignment="1">
      <alignment horizontal="right"/>
    </xf>
    <xf numFmtId="0" fontId="44" fillId="2" borderId="3" xfId="0" applyFont="1" applyFill="1" applyBorder="1" applyAlignment="1">
      <alignment horizontal="right"/>
    </xf>
    <xf numFmtId="164" fontId="45" fillId="2" borderId="20" xfId="0" applyNumberFormat="1" applyFont="1" applyFill="1" applyBorder="1"/>
    <xf numFmtId="43" fontId="44" fillId="2" borderId="24" xfId="0" applyNumberFormat="1" applyFont="1" applyFill="1" applyBorder="1" applyAlignment="1">
      <alignment horizontal="right"/>
    </xf>
    <xf numFmtId="43" fontId="44" fillId="2" borderId="61" xfId="0" applyNumberFormat="1" applyFont="1" applyFill="1" applyBorder="1" applyAlignment="1">
      <alignment horizontal="right"/>
    </xf>
    <xf numFmtId="43" fontId="46" fillId="2" borderId="62" xfId="0" applyNumberFormat="1" applyFont="1" applyFill="1" applyBorder="1" applyAlignment="1">
      <alignment horizontal="right"/>
    </xf>
    <xf numFmtId="0" fontId="44" fillId="2" borderId="48" xfId="0" applyFont="1" applyFill="1" applyBorder="1" applyAlignment="1">
      <alignment horizontal="right"/>
    </xf>
    <xf numFmtId="164" fontId="45" fillId="2" borderId="52" xfId="0" applyNumberFormat="1" applyFont="1" applyFill="1" applyBorder="1" applyAlignment="1">
      <alignment horizontal="left"/>
    </xf>
    <xf numFmtId="43" fontId="44" fillId="2" borderId="55" xfId="0" applyNumberFormat="1" applyFont="1" applyFill="1" applyBorder="1" applyAlignment="1">
      <alignment horizontal="right"/>
    </xf>
    <xf numFmtId="39" fontId="14" fillId="0" borderId="0" xfId="0" applyNumberFormat="1" applyFont="1"/>
    <xf numFmtId="0" fontId="47" fillId="0" borderId="0" xfId="0" applyFont="1" applyAlignment="1">
      <alignment horizontal="right"/>
    </xf>
    <xf numFmtId="0" fontId="31" fillId="6" borderId="26" xfId="0" applyFont="1" applyFill="1" applyBorder="1" applyAlignment="1">
      <alignment horizontal="centerContinuous"/>
    </xf>
    <xf numFmtId="0" fontId="31" fillId="6" borderId="12" xfId="0" applyFont="1" applyFill="1" applyBorder="1" applyAlignment="1">
      <alignment horizontal="centerContinuous"/>
    </xf>
    <xf numFmtId="0" fontId="31" fillId="6" borderId="18" xfId="0" applyFont="1" applyFill="1" applyBorder="1" applyAlignment="1">
      <alignment horizontal="centerContinuous"/>
    </xf>
    <xf numFmtId="0" fontId="48" fillId="6" borderId="23" xfId="0" applyFont="1" applyFill="1" applyBorder="1" applyAlignment="1">
      <alignment horizontal="centerContinuous" wrapText="1"/>
    </xf>
    <xf numFmtId="43" fontId="48" fillId="6" borderId="21" xfId="0" applyNumberFormat="1" applyFont="1" applyFill="1" applyBorder="1" applyAlignment="1">
      <alignment horizontal="centerContinuous" wrapText="1"/>
    </xf>
    <xf numFmtId="0" fontId="31" fillId="6" borderId="4" xfId="0" applyFont="1" applyFill="1" applyBorder="1" applyAlignment="1">
      <alignment horizontal="centerContinuous"/>
    </xf>
    <xf numFmtId="0" fontId="31" fillId="6" borderId="1" xfId="0" applyFont="1" applyFill="1" applyBorder="1" applyAlignment="1">
      <alignment horizontal="centerContinuous"/>
    </xf>
    <xf numFmtId="0" fontId="31" fillId="6" borderId="33" xfId="0" applyFont="1" applyFill="1" applyBorder="1" applyAlignment="1">
      <alignment horizontal="centerContinuous"/>
    </xf>
    <xf numFmtId="0" fontId="31" fillId="6" borderId="1" xfId="0" applyFont="1" applyFill="1" applyBorder="1" applyAlignment="1">
      <alignment horizontal="centerContinuous" wrapText="1"/>
    </xf>
    <xf numFmtId="43" fontId="31" fillId="6" borderId="35" xfId="0" applyNumberFormat="1" applyFont="1" applyFill="1" applyBorder="1" applyAlignment="1">
      <alignment horizontal="centerContinuous" wrapText="1"/>
    </xf>
    <xf numFmtId="0" fontId="49" fillId="0" borderId="15" xfId="0" applyFont="1" applyBorder="1"/>
    <xf numFmtId="0" fontId="49" fillId="0" borderId="2" xfId="0" applyFont="1" applyBorder="1"/>
    <xf numFmtId="0" fontId="49" fillId="0" borderId="19" xfId="0" applyFont="1" applyBorder="1"/>
    <xf numFmtId="164" fontId="50" fillId="8" borderId="2" xfId="0" applyNumberFormat="1" applyFont="1" applyFill="1" applyBorder="1" applyProtection="1">
      <protection locked="0"/>
    </xf>
    <xf numFmtId="164" fontId="50" fillId="8" borderId="22" xfId="0" applyNumberFormat="1" applyFont="1" applyFill="1" applyBorder="1" applyProtection="1">
      <protection locked="0"/>
    </xf>
    <xf numFmtId="0" fontId="49" fillId="0" borderId="17" xfId="0" applyFont="1" applyBorder="1"/>
    <xf numFmtId="0" fontId="49" fillId="0" borderId="3" xfId="0" applyFont="1" applyBorder="1"/>
    <xf numFmtId="0" fontId="49" fillId="0" borderId="20" xfId="0" applyFont="1" applyBorder="1"/>
    <xf numFmtId="164" fontId="50" fillId="8" borderId="3" xfId="0" applyNumberFormat="1" applyFont="1" applyFill="1" applyBorder="1" applyProtection="1">
      <protection locked="0"/>
    </xf>
    <xf numFmtId="0" fontId="29" fillId="2" borderId="17" xfId="0" applyFont="1" applyFill="1" applyBorder="1"/>
    <xf numFmtId="0" fontId="29" fillId="2" borderId="3" xfId="0" applyFont="1" applyFill="1" applyBorder="1"/>
    <xf numFmtId="0" fontId="29" fillId="2" borderId="20" xfId="0" applyFont="1" applyFill="1" applyBorder="1"/>
    <xf numFmtId="164" fontId="50" fillId="2" borderId="3" xfId="0" applyNumberFormat="1" applyFont="1" applyFill="1" applyBorder="1"/>
    <xf numFmtId="164" fontId="50" fillId="2" borderId="22" xfId="0" applyNumberFormat="1" applyFont="1" applyFill="1" applyBorder="1"/>
    <xf numFmtId="0" fontId="29" fillId="0" borderId="20" xfId="0" applyFont="1" applyBorder="1"/>
    <xf numFmtId="0" fontId="49" fillId="0" borderId="16" xfId="0" applyFont="1" applyBorder="1"/>
    <xf numFmtId="0" fontId="49" fillId="0" borderId="10" xfId="0" applyFont="1" applyBorder="1"/>
    <xf numFmtId="0" fontId="29" fillId="0" borderId="28" xfId="0" applyFont="1" applyBorder="1"/>
    <xf numFmtId="164" fontId="50" fillId="8" borderId="0" xfId="0" applyNumberFormat="1" applyFont="1" applyFill="1" applyProtection="1">
      <protection locked="0"/>
    </xf>
    <xf numFmtId="0" fontId="48" fillId="0" borderId="25" xfId="0" applyFont="1" applyBorder="1"/>
    <xf numFmtId="0" fontId="29" fillId="0" borderId="29" xfId="0" applyFont="1" applyBorder="1"/>
    <xf numFmtId="0" fontId="29" fillId="0" borderId="30" xfId="0" applyFont="1" applyBorder="1"/>
    <xf numFmtId="164" fontId="48" fillId="5" borderId="27" xfId="0" applyNumberFormat="1" applyFont="1" applyFill="1" applyBorder="1"/>
    <xf numFmtId="164" fontId="12" fillId="0" borderId="0" xfId="0" applyNumberFormat="1" applyFont="1"/>
    <xf numFmtId="0" fontId="49" fillId="0" borderId="25" xfId="0" applyFont="1" applyBorder="1"/>
    <xf numFmtId="0" fontId="23" fillId="0" borderId="0" xfId="0" applyFont="1"/>
    <xf numFmtId="0" fontId="52" fillId="0" borderId="0" xfId="0" applyFont="1"/>
    <xf numFmtId="164" fontId="50" fillId="0" borderId="0" xfId="0" applyNumberFormat="1" applyFont="1"/>
    <xf numFmtId="43" fontId="48" fillId="0" borderId="0" xfId="0" applyNumberFormat="1" applyFont="1"/>
    <xf numFmtId="43" fontId="29" fillId="0" borderId="0" xfId="0" applyNumberFormat="1" applyFont="1"/>
    <xf numFmtId="0" fontId="53" fillId="0" borderId="26" xfId="0" applyFont="1" applyBorder="1"/>
    <xf numFmtId="43" fontId="48" fillId="0" borderId="12" xfId="0" applyNumberFormat="1" applyFont="1" applyBorder="1"/>
    <xf numFmtId="43" fontId="29" fillId="0" borderId="12" xfId="0" applyNumberFormat="1" applyFont="1" applyBorder="1"/>
    <xf numFmtId="0" fontId="23" fillId="0" borderId="12" xfId="0" applyFont="1" applyBorder="1"/>
    <xf numFmtId="0" fontId="52" fillId="0" borderId="12" xfId="0" applyFont="1" applyBorder="1"/>
    <xf numFmtId="0" fontId="52" fillId="0" borderId="13" xfId="0" applyFont="1" applyBorder="1"/>
    <xf numFmtId="0" fontId="12" fillId="0" borderId="10" xfId="0" applyFont="1" applyBorder="1" applyAlignment="1">
      <alignment horizontal="center" vertical="top"/>
    </xf>
    <xf numFmtId="0" fontId="28" fillId="0" borderId="10" xfId="0" applyFont="1" applyBorder="1" applyAlignment="1">
      <alignment vertical="top" wrapText="1"/>
    </xf>
    <xf numFmtId="0" fontId="12" fillId="0" borderId="10" xfId="0" applyFont="1" applyBorder="1" applyAlignment="1">
      <alignment vertical="top" wrapText="1"/>
    </xf>
    <xf numFmtId="43" fontId="12" fillId="0" borderId="10" xfId="0" applyNumberFormat="1" applyFont="1" applyBorder="1" applyAlignment="1">
      <alignment vertical="top" wrapText="1"/>
    </xf>
    <xf numFmtId="0" fontId="54" fillId="3" borderId="0" xfId="0" applyFont="1" applyFill="1" applyAlignment="1">
      <alignment horizontal="left" vertical="top"/>
    </xf>
    <xf numFmtId="0" fontId="28" fillId="3" borderId="0" xfId="0" applyFont="1" applyFill="1" applyAlignment="1">
      <alignment vertical="top" wrapText="1"/>
    </xf>
    <xf numFmtId="0" fontId="12" fillId="3" borderId="0" xfId="0" applyFont="1" applyFill="1" applyAlignment="1">
      <alignment wrapText="1"/>
    </xf>
    <xf numFmtId="43" fontId="12" fillId="3" borderId="0" xfId="0" applyNumberFormat="1" applyFont="1" applyFill="1" applyAlignment="1">
      <alignment wrapText="1"/>
    </xf>
    <xf numFmtId="0" fontId="12" fillId="0" borderId="1" xfId="0" applyFont="1" applyBorder="1" applyAlignment="1">
      <alignment horizontal="center" vertical="top"/>
    </xf>
    <xf numFmtId="164" fontId="31" fillId="5" borderId="107" xfId="0" applyNumberFormat="1" applyFont="1" applyFill="1" applyBorder="1"/>
    <xf numFmtId="0" fontId="31" fillId="0" borderId="32" xfId="0" applyFont="1" applyBorder="1" applyAlignment="1">
      <alignment horizontal="center"/>
    </xf>
    <xf numFmtId="0" fontId="56" fillId="0" borderId="29" xfId="0" applyFont="1" applyBorder="1" applyAlignment="1">
      <alignment horizontal="center" vertical="top"/>
    </xf>
    <xf numFmtId="164" fontId="58" fillId="8" borderId="107" xfId="0" applyNumberFormat="1" applyFont="1" applyFill="1" applyBorder="1" applyProtection="1">
      <protection locked="0"/>
    </xf>
    <xf numFmtId="0" fontId="59" fillId="0" borderId="0" xfId="0" applyFont="1" applyAlignment="1">
      <alignment horizontal="center" wrapText="1"/>
    </xf>
    <xf numFmtId="0" fontId="59" fillId="0" borderId="27" xfId="0" applyFont="1" applyBorder="1" applyAlignment="1">
      <alignment horizontal="center" wrapText="1"/>
    </xf>
    <xf numFmtId="0" fontId="12" fillId="0" borderId="37" xfId="0" applyFont="1" applyBorder="1" applyAlignment="1">
      <alignment horizontal="center" vertical="top"/>
    </xf>
    <xf numFmtId="164" fontId="28" fillId="5" borderId="108" xfId="0" applyNumberFormat="1" applyFont="1" applyFill="1" applyBorder="1"/>
    <xf numFmtId="0" fontId="31" fillId="0" borderId="45" xfId="0" applyFont="1" applyBorder="1" applyAlignment="1">
      <alignment horizontal="center"/>
    </xf>
    <xf numFmtId="164" fontId="31" fillId="5" borderId="6" xfId="0" applyNumberFormat="1" applyFont="1" applyFill="1" applyBorder="1"/>
    <xf numFmtId="0" fontId="31" fillId="0" borderId="46" xfId="0" applyFont="1" applyBorder="1" applyAlignment="1">
      <alignment horizontal="center"/>
    </xf>
    <xf numFmtId="0" fontId="12" fillId="0" borderId="29" xfId="0" applyFont="1" applyBorder="1" applyAlignment="1">
      <alignment horizontal="center" vertical="top"/>
    </xf>
    <xf numFmtId="0" fontId="31" fillId="0" borderId="47" xfId="0" applyFont="1" applyBorder="1" applyAlignment="1">
      <alignment horizontal="center"/>
    </xf>
    <xf numFmtId="0" fontId="31" fillId="0" borderId="44" xfId="0" applyFont="1" applyBorder="1" applyAlignment="1">
      <alignment horizontal="center"/>
    </xf>
    <xf numFmtId="0" fontId="59" fillId="0" borderId="79" xfId="0" applyFont="1" applyBorder="1" applyAlignment="1">
      <alignment horizontal="center" wrapText="1"/>
    </xf>
    <xf numFmtId="164" fontId="31" fillId="5" borderId="106" xfId="0" applyNumberFormat="1" applyFont="1" applyFill="1" applyBorder="1"/>
    <xf numFmtId="0" fontId="12" fillId="0" borderId="2" xfId="0" applyFont="1" applyBorder="1" applyAlignment="1">
      <alignment horizontal="center" vertical="top"/>
    </xf>
    <xf numFmtId="0" fontId="12" fillId="0" borderId="0" xfId="0" applyFont="1" applyAlignment="1">
      <alignment horizontal="center" vertical="top"/>
    </xf>
    <xf numFmtId="0" fontId="28" fillId="0" borderId="0" xfId="0" applyFont="1" applyAlignment="1">
      <alignment vertical="top" wrapText="1"/>
    </xf>
    <xf numFmtId="0" fontId="12" fillId="0" borderId="0" xfId="0" applyFont="1" applyAlignment="1">
      <alignment vertical="top" wrapText="1"/>
    </xf>
    <xf numFmtId="43" fontId="12" fillId="0" borderId="0" xfId="0" applyNumberFormat="1" applyFont="1" applyAlignment="1">
      <alignment vertical="top" wrapText="1"/>
    </xf>
    <xf numFmtId="0" fontId="54" fillId="3" borderId="2" xfId="0" applyFont="1" applyFill="1" applyBorder="1" applyAlignment="1">
      <alignment horizontal="left" vertical="top"/>
    </xf>
    <xf numFmtId="0" fontId="28" fillId="3" borderId="2" xfId="0" applyFont="1" applyFill="1" applyBorder="1" applyAlignment="1">
      <alignment vertical="top" wrapText="1"/>
    </xf>
    <xf numFmtId="0" fontId="12" fillId="3" borderId="2" xfId="0" applyFont="1" applyFill="1" applyBorder="1" applyAlignment="1">
      <alignment wrapText="1"/>
    </xf>
    <xf numFmtId="0" fontId="12" fillId="0" borderId="5" xfId="0" applyFont="1" applyBorder="1"/>
    <xf numFmtId="164" fontId="48" fillId="5" borderId="75" xfId="0" applyNumberFormat="1" applyFont="1" applyFill="1" applyBorder="1"/>
    <xf numFmtId="0" fontId="12" fillId="0" borderId="38" xfId="0" applyFont="1" applyBorder="1" applyAlignment="1">
      <alignment horizontal="center" vertical="top"/>
    </xf>
    <xf numFmtId="0" fontId="12" fillId="0" borderId="7" xfId="0" applyFont="1" applyBorder="1"/>
    <xf numFmtId="39" fontId="18" fillId="5" borderId="0" xfId="0" applyNumberFormat="1" applyFont="1" applyFill="1"/>
    <xf numFmtId="0" fontId="12" fillId="5" borderId="0" xfId="0" applyFont="1" applyFill="1"/>
    <xf numFmtId="0" fontId="12" fillId="0" borderId="8" xfId="0" applyFont="1" applyBorder="1"/>
    <xf numFmtId="0" fontId="18" fillId="0" borderId="8" xfId="0" applyFont="1" applyBorder="1" applyAlignment="1">
      <alignment horizontal="right"/>
    </xf>
    <xf numFmtId="0" fontId="18" fillId="2" borderId="26" xfId="0" applyFont="1" applyFill="1" applyBorder="1" applyAlignment="1">
      <alignment horizontal="centerContinuous"/>
    </xf>
    <xf numFmtId="0" fontId="18" fillId="2" borderId="12" xfId="0" applyFont="1" applyFill="1" applyBorder="1" applyAlignment="1">
      <alignment horizontal="centerContinuous"/>
    </xf>
    <xf numFmtId="43" fontId="18" fillId="2" borderId="12" xfId="0" applyNumberFormat="1" applyFont="1" applyFill="1" applyBorder="1" applyAlignment="1">
      <alignment horizontal="centerContinuous"/>
    </xf>
    <xf numFmtId="0" fontId="18" fillId="2" borderId="13" xfId="0" applyFont="1" applyFill="1" applyBorder="1" applyAlignment="1">
      <alignment horizontal="centerContinuous"/>
    </xf>
    <xf numFmtId="0" fontId="18" fillId="2" borderId="32" xfId="0" applyFont="1" applyFill="1" applyBorder="1" applyAlignment="1">
      <alignment horizontal="centerContinuous"/>
    </xf>
    <xf numFmtId="0" fontId="18" fillId="2" borderId="0" xfId="0" applyFont="1" applyFill="1" applyAlignment="1">
      <alignment horizontal="centerContinuous"/>
    </xf>
    <xf numFmtId="0" fontId="18" fillId="2" borderId="7" xfId="0" applyFont="1" applyFill="1" applyBorder="1" applyAlignment="1">
      <alignment horizontal="centerContinuous"/>
    </xf>
    <xf numFmtId="0" fontId="12" fillId="0" borderId="4" xfId="0" applyFont="1" applyBorder="1"/>
    <xf numFmtId="0" fontId="62" fillId="4" borderId="53" xfId="0" applyFont="1" applyFill="1" applyBorder="1" applyAlignment="1">
      <alignment horizontal="center"/>
    </xf>
    <xf numFmtId="0" fontId="62" fillId="0" borderId="54" xfId="0" applyFont="1" applyBorder="1" applyAlignment="1">
      <alignment wrapText="1"/>
    </xf>
    <xf numFmtId="0" fontId="63" fillId="4" borderId="53" xfId="0" applyFont="1" applyFill="1" applyBorder="1" applyAlignment="1">
      <alignment horizontal="center"/>
    </xf>
    <xf numFmtId="0" fontId="63" fillId="0" borderId="54" xfId="0" applyFont="1" applyBorder="1" applyAlignment="1">
      <alignment wrapText="1"/>
    </xf>
    <xf numFmtId="165" fontId="12" fillId="0" borderId="0" xfId="0" applyNumberFormat="1" applyFont="1"/>
    <xf numFmtId="0" fontId="18" fillId="0" borderId="26" xfId="0" applyFont="1" applyBorder="1"/>
    <xf numFmtId="1" fontId="12" fillId="0" borderId="12" xfId="0" applyNumberFormat="1" applyFont="1" applyBorder="1"/>
    <xf numFmtId="1" fontId="12" fillId="0" borderId="13" xfId="0" applyNumberFormat="1" applyFont="1" applyBorder="1"/>
    <xf numFmtId="0" fontId="12" fillId="0" borderId="14" xfId="0" applyFont="1" applyBorder="1"/>
    <xf numFmtId="165" fontId="12" fillId="0" borderId="7" xfId="0" applyNumberFormat="1" applyFont="1" applyBorder="1"/>
    <xf numFmtId="165" fontId="12" fillId="0" borderId="1" xfId="0" applyNumberFormat="1" applyFont="1" applyBorder="1"/>
    <xf numFmtId="165" fontId="12" fillId="0" borderId="5" xfId="0" applyNumberFormat="1" applyFont="1" applyBorder="1"/>
    <xf numFmtId="0" fontId="18" fillId="0" borderId="14" xfId="0" applyFont="1" applyBorder="1"/>
    <xf numFmtId="9" fontId="12" fillId="0" borderId="0" xfId="0" applyNumberFormat="1" applyFont="1"/>
    <xf numFmtId="9" fontId="12" fillId="0" borderId="7" xfId="0" applyNumberFormat="1" applyFont="1" applyBorder="1"/>
    <xf numFmtId="9" fontId="12" fillId="0" borderId="1" xfId="0" applyNumberFormat="1" applyFont="1" applyBorder="1"/>
    <xf numFmtId="9" fontId="12" fillId="0" borderId="5" xfId="0" applyNumberFormat="1" applyFont="1" applyBorder="1"/>
    <xf numFmtId="0" fontId="18" fillId="0" borderId="39" xfId="0" applyFont="1" applyBorder="1"/>
    <xf numFmtId="0" fontId="12" fillId="0" borderId="26" xfId="0" applyFont="1" applyBorder="1" applyAlignment="1">
      <alignment horizontal="right"/>
    </xf>
    <xf numFmtId="0" fontId="66" fillId="0" borderId="0" xfId="0" applyFont="1"/>
    <xf numFmtId="0" fontId="67" fillId="0" borderId="0" xfId="0" applyFont="1" applyAlignment="1">
      <alignment horizontal="right"/>
    </xf>
    <xf numFmtId="0" fontId="68" fillId="7" borderId="0" xfId="0" applyFont="1" applyFill="1"/>
    <xf numFmtId="0" fontId="64" fillId="7" borderId="0" xfId="0" applyFont="1" applyFill="1"/>
    <xf numFmtId="0" fontId="12" fillId="7" borderId="0" xfId="0" applyFont="1" applyFill="1"/>
    <xf numFmtId="0" fontId="66" fillId="0" borderId="0" xfId="0" applyFont="1" applyAlignment="1">
      <alignment horizontal="right"/>
    </xf>
    <xf numFmtId="0" fontId="69" fillId="0" borderId="0" xfId="1" applyFont="1" applyAlignment="1" applyProtection="1"/>
    <xf numFmtId="0" fontId="64" fillId="0" borderId="0" xfId="0" applyFont="1"/>
    <xf numFmtId="0" fontId="34" fillId="0" borderId="0" xfId="0" applyFont="1" applyAlignment="1">
      <alignment horizontal="right"/>
    </xf>
    <xf numFmtId="49" fontId="71" fillId="0" borderId="68" xfId="0" applyNumberFormat="1" applyFont="1" applyBorder="1" applyAlignment="1" applyProtection="1">
      <alignment horizontal="center"/>
      <protection locked="0"/>
    </xf>
    <xf numFmtId="0" fontId="72" fillId="0" borderId="0" xfId="1" applyFont="1" applyAlignment="1" applyProtection="1"/>
    <xf numFmtId="0" fontId="66" fillId="0" borderId="74" xfId="0" applyFont="1" applyBorder="1"/>
    <xf numFmtId="0" fontId="12" fillId="0" borderId="74" xfId="0" applyFont="1" applyBorder="1"/>
    <xf numFmtId="0" fontId="68" fillId="12" borderId="75" xfId="0" applyFont="1" applyFill="1" applyBorder="1" applyAlignment="1">
      <alignment horizontal="centerContinuous"/>
    </xf>
    <xf numFmtId="0" fontId="12" fillId="0" borderId="0" xfId="0" quotePrefix="1" applyFont="1" applyAlignment="1">
      <alignment horizontal="right"/>
    </xf>
    <xf numFmtId="0" fontId="65" fillId="0" borderId="0" xfId="0" applyFont="1"/>
    <xf numFmtId="0" fontId="76" fillId="0" borderId="75" xfId="0" quotePrefix="1" applyFont="1" applyBorder="1" applyAlignment="1">
      <alignment horizontal="right" vertical="top"/>
    </xf>
    <xf numFmtId="39" fontId="76" fillId="13" borderId="75" xfId="2" applyNumberFormat="1" applyFont="1" applyFill="1" applyBorder="1" applyAlignment="1"/>
    <xf numFmtId="39" fontId="77" fillId="13" borderId="75" xfId="2" applyNumberFormat="1" applyFont="1" applyFill="1" applyBorder="1" applyAlignment="1"/>
    <xf numFmtId="39" fontId="76" fillId="7" borderId="75" xfId="2" applyNumberFormat="1" applyFont="1" applyFill="1" applyBorder="1" applyAlignment="1"/>
    <xf numFmtId="39" fontId="77" fillId="7" borderId="75" xfId="2" applyNumberFormat="1" applyFont="1" applyFill="1" applyBorder="1" applyAlignment="1"/>
    <xf numFmtId="0" fontId="12" fillId="0" borderId="0" xfId="0" quotePrefix="1" applyFont="1"/>
    <xf numFmtId="39" fontId="16" fillId="0" borderId="0" xfId="0" quotePrefix="1" applyNumberFormat="1" applyFont="1"/>
    <xf numFmtId="39" fontId="78" fillId="7" borderId="87" xfId="2" applyNumberFormat="1" applyFont="1" applyFill="1" applyBorder="1" applyAlignment="1"/>
    <xf numFmtId="0" fontId="66" fillId="7" borderId="88" xfId="0" applyFont="1" applyFill="1" applyBorder="1"/>
    <xf numFmtId="0" fontId="76" fillId="0" borderId="6" xfId="0" quotePrefix="1" applyFont="1" applyBorder="1" applyAlignment="1">
      <alignment horizontal="right"/>
    </xf>
    <xf numFmtId="0" fontId="78" fillId="0" borderId="74" xfId="0" applyFont="1" applyBorder="1" applyAlignment="1">
      <alignment horizontal="right"/>
    </xf>
    <xf numFmtId="39" fontId="66" fillId="7" borderId="91" xfId="0" applyNumberFormat="1" applyFont="1" applyFill="1" applyBorder="1"/>
    <xf numFmtId="0" fontId="66" fillId="7" borderId="92" xfId="0" applyFont="1" applyFill="1" applyBorder="1"/>
    <xf numFmtId="0" fontId="76" fillId="0" borderId="0" xfId="0" quotePrefix="1" applyFont="1" applyAlignment="1">
      <alignment horizontal="right"/>
    </xf>
    <xf numFmtId="0" fontId="76" fillId="0" borderId="0" xfId="0" applyFont="1"/>
    <xf numFmtId="39" fontId="76" fillId="0" borderId="0" xfId="2" applyNumberFormat="1" applyFont="1"/>
    <xf numFmtId="39" fontId="80" fillId="0" borderId="0" xfId="2" applyNumberFormat="1" applyFont="1" applyAlignment="1">
      <alignment horizontal="right"/>
    </xf>
    <xf numFmtId="0" fontId="82" fillId="0" borderId="75" xfId="0" quotePrefix="1" applyFont="1" applyBorder="1" applyAlignment="1">
      <alignment horizontal="right"/>
    </xf>
    <xf numFmtId="0" fontId="76" fillId="0" borderId="83" xfId="0" applyFont="1" applyBorder="1"/>
    <xf numFmtId="39" fontId="76" fillId="0" borderId="83" xfId="2" applyNumberFormat="1" applyFont="1" applyBorder="1"/>
    <xf numFmtId="39" fontId="40" fillId="0" borderId="0" xfId="2" applyNumberFormat="1" applyFont="1"/>
    <xf numFmtId="0" fontId="12" fillId="0" borderId="81" xfId="0" applyFont="1" applyBorder="1"/>
    <xf numFmtId="0" fontId="76" fillId="0" borderId="75" xfId="0" quotePrefix="1" applyFont="1" applyBorder="1" applyAlignment="1">
      <alignment horizontal="right"/>
    </xf>
    <xf numFmtId="39" fontId="76" fillId="0" borderId="78" xfId="2" applyNumberFormat="1" applyFont="1" applyBorder="1"/>
    <xf numFmtId="39" fontId="85" fillId="14" borderId="83" xfId="2" applyNumberFormat="1" applyFont="1" applyFill="1" applyBorder="1" applyAlignment="1" applyProtection="1"/>
    <xf numFmtId="0" fontId="76" fillId="0" borderId="4" xfId="0" applyFont="1" applyBorder="1"/>
    <xf numFmtId="39" fontId="76" fillId="0" borderId="77" xfId="2" applyNumberFormat="1" applyFont="1" applyBorder="1"/>
    <xf numFmtId="0" fontId="32" fillId="0" borderId="81" xfId="0" applyFont="1" applyBorder="1"/>
    <xf numFmtId="39" fontId="87" fillId="0" borderId="0" xfId="2" applyNumberFormat="1" applyFont="1" applyAlignment="1">
      <alignment horizontal="right"/>
    </xf>
    <xf numFmtId="39" fontId="78" fillId="0" borderId="0" xfId="2" applyNumberFormat="1" applyFont="1"/>
    <xf numFmtId="39" fontId="82" fillId="0" borderId="77" xfId="2" applyNumberFormat="1" applyFont="1" applyBorder="1"/>
    <xf numFmtId="39" fontId="82" fillId="0" borderId="83" xfId="2" applyNumberFormat="1" applyFont="1" applyBorder="1"/>
    <xf numFmtId="0" fontId="76" fillId="0" borderId="81" xfId="0" quotePrefix="1" applyFont="1" applyBorder="1" applyAlignment="1">
      <alignment horizontal="right" vertical="top"/>
    </xf>
    <xf numFmtId="0" fontId="76" fillId="14" borderId="0" xfId="0" applyFont="1" applyFill="1" applyAlignment="1">
      <alignment horizontal="right" vertical="top" wrapText="1"/>
    </xf>
    <xf numFmtId="0" fontId="12" fillId="0" borderId="97" xfId="0" applyFont="1" applyBorder="1"/>
    <xf numFmtId="0" fontId="17" fillId="0" borderId="113" xfId="0" applyFont="1" applyBorder="1" applyAlignment="1">
      <alignment horizontal="center" vertical="center" wrapText="1"/>
    </xf>
    <xf numFmtId="0" fontId="17" fillId="0" borderId="114" xfId="0" applyFont="1" applyBorder="1" applyAlignment="1">
      <alignment horizontal="center" vertical="center" wrapText="1"/>
    </xf>
    <xf numFmtId="0" fontId="92" fillId="16" borderId="118" xfId="0" applyFont="1" applyFill="1" applyBorder="1" applyAlignment="1">
      <alignment horizontal="center" wrapText="1"/>
    </xf>
    <xf numFmtId="0" fontId="92" fillId="16" borderId="119" xfId="0" applyFont="1" applyFill="1" applyBorder="1" applyAlignment="1">
      <alignment horizontal="center" wrapText="1"/>
    </xf>
    <xf numFmtId="0" fontId="92" fillId="16" borderId="5" xfId="0" applyFont="1" applyFill="1" applyBorder="1" applyAlignment="1">
      <alignment horizontal="center" wrapText="1"/>
    </xf>
    <xf numFmtId="0" fontId="12" fillId="7" borderId="6" xfId="0" applyFont="1" applyFill="1" applyBorder="1"/>
    <xf numFmtId="164" fontId="84" fillId="0" borderId="123" xfId="2" applyNumberFormat="1" applyFont="1" applyBorder="1" applyProtection="1">
      <protection locked="0"/>
    </xf>
    <xf numFmtId="164" fontId="84" fillId="0" borderId="124" xfId="2" applyNumberFormat="1" applyFont="1" applyBorder="1" applyProtection="1">
      <protection locked="0"/>
    </xf>
    <xf numFmtId="164" fontId="17" fillId="7" borderId="124" xfId="2" applyNumberFormat="1" applyFont="1" applyFill="1" applyBorder="1" applyProtection="1"/>
    <xf numFmtId="164" fontId="17" fillId="17" borderId="5" xfId="2" applyNumberFormat="1" applyFont="1" applyFill="1" applyBorder="1" applyProtection="1"/>
    <xf numFmtId="164" fontId="17" fillId="0" borderId="5" xfId="2" applyNumberFormat="1" applyFont="1" applyFill="1" applyBorder="1" applyProtection="1">
      <protection locked="0"/>
    </xf>
    <xf numFmtId="0" fontId="12" fillId="0" borderId="75" xfId="0" applyFont="1" applyBorder="1" applyProtection="1">
      <protection locked="0"/>
    </xf>
    <xf numFmtId="164" fontId="84" fillId="0" borderId="125" xfId="2" applyNumberFormat="1" applyFont="1" applyBorder="1" applyProtection="1">
      <protection locked="0"/>
    </xf>
    <xf numFmtId="164" fontId="84" fillId="0" borderId="126" xfId="2" applyNumberFormat="1" applyFont="1" applyBorder="1" applyProtection="1">
      <protection locked="0"/>
    </xf>
    <xf numFmtId="164" fontId="17" fillId="7" borderId="126" xfId="2" applyNumberFormat="1" applyFont="1" applyFill="1" applyBorder="1" applyProtection="1"/>
    <xf numFmtId="164" fontId="17" fillId="17" borderId="78" xfId="2" applyNumberFormat="1" applyFont="1" applyFill="1" applyBorder="1" applyProtection="1"/>
    <xf numFmtId="164" fontId="17" fillId="0" borderId="78" xfId="2" applyNumberFormat="1" applyFont="1" applyFill="1" applyBorder="1" applyProtection="1">
      <protection locked="0"/>
    </xf>
    <xf numFmtId="164" fontId="84" fillId="0" borderId="127" xfId="2" applyNumberFormat="1" applyFont="1" applyBorder="1" applyProtection="1">
      <protection locked="0"/>
    </xf>
    <xf numFmtId="164" fontId="84" fillId="0" borderId="128" xfId="2" applyNumberFormat="1" applyFont="1" applyBorder="1" applyProtection="1">
      <protection locked="0"/>
    </xf>
    <xf numFmtId="164" fontId="17" fillId="7" borderId="128" xfId="2" applyNumberFormat="1" applyFont="1" applyFill="1" applyBorder="1" applyProtection="1"/>
    <xf numFmtId="164" fontId="17" fillId="17" borderId="137" xfId="2" applyNumberFormat="1" applyFont="1" applyFill="1" applyBorder="1" applyProtection="1"/>
    <xf numFmtId="164" fontId="17" fillId="0" borderId="137" xfId="2" applyNumberFormat="1" applyFont="1" applyFill="1" applyBorder="1" applyProtection="1">
      <protection locked="0"/>
    </xf>
    <xf numFmtId="164" fontId="84" fillId="0" borderId="132" xfId="2" applyNumberFormat="1" applyFont="1" applyBorder="1" applyProtection="1">
      <protection locked="0"/>
    </xf>
    <xf numFmtId="164" fontId="84" fillId="0" borderId="133" xfId="2" applyNumberFormat="1" applyFont="1" applyBorder="1" applyProtection="1">
      <protection locked="0"/>
    </xf>
    <xf numFmtId="164" fontId="17" fillId="7" borderId="133" xfId="2" applyNumberFormat="1" applyFont="1" applyFill="1" applyBorder="1" applyProtection="1"/>
    <xf numFmtId="164" fontId="17" fillId="17" borderId="136" xfId="2" applyNumberFormat="1" applyFont="1" applyFill="1" applyBorder="1" applyProtection="1"/>
    <xf numFmtId="164" fontId="17" fillId="0" borderId="136" xfId="2" applyNumberFormat="1" applyFont="1" applyFill="1" applyBorder="1" applyProtection="1">
      <protection locked="0"/>
    </xf>
    <xf numFmtId="39" fontId="76" fillId="0" borderId="0" xfId="2" applyNumberFormat="1" applyFont="1" applyFill="1"/>
    <xf numFmtId="39" fontId="76" fillId="0" borderId="77" xfId="2" applyNumberFormat="1" applyFont="1" applyFill="1" applyBorder="1"/>
    <xf numFmtId="39" fontId="76" fillId="0" borderId="83" xfId="2" applyNumberFormat="1" applyFont="1" applyFill="1" applyBorder="1"/>
    <xf numFmtId="39" fontId="80" fillId="0" borderId="0" xfId="2" applyNumberFormat="1" applyFont="1" applyFill="1" applyAlignment="1">
      <alignment horizontal="right"/>
    </xf>
    <xf numFmtId="39" fontId="77" fillId="7" borderId="140" xfId="2" applyNumberFormat="1" applyFont="1" applyFill="1" applyBorder="1" applyAlignment="1"/>
    <xf numFmtId="0" fontId="76" fillId="0" borderId="140" xfId="0" quotePrefix="1" applyFont="1" applyBorder="1" applyAlignment="1">
      <alignment horizontal="right" vertical="top"/>
    </xf>
    <xf numFmtId="0" fontId="82" fillId="0" borderId="140" xfId="0" quotePrefix="1" applyFont="1" applyBorder="1" applyAlignment="1">
      <alignment horizontal="right" vertical="top"/>
    </xf>
    <xf numFmtId="0" fontId="89" fillId="11" borderId="142" xfId="3" applyFont="1" applyFill="1" applyBorder="1" applyAlignment="1">
      <alignment horizontal="center"/>
    </xf>
    <xf numFmtId="0" fontId="89" fillId="0" borderId="143" xfId="3" applyFont="1" applyBorder="1" applyAlignment="1">
      <alignment wrapText="1"/>
    </xf>
    <xf numFmtId="0" fontId="90" fillId="11" borderId="142" xfId="3" applyFont="1" applyFill="1" applyBorder="1" applyAlignment="1">
      <alignment horizontal="center"/>
    </xf>
    <xf numFmtId="0" fontId="90" fillId="0" borderId="143" xfId="3" applyFont="1" applyBorder="1" applyAlignment="1">
      <alignment wrapText="1"/>
    </xf>
    <xf numFmtId="0" fontId="12" fillId="0" borderId="139" xfId="0" applyFont="1" applyBorder="1"/>
    <xf numFmtId="0" fontId="12" fillId="0" borderId="138" xfId="0" applyFont="1" applyBorder="1" applyAlignment="1">
      <alignment horizontal="right"/>
    </xf>
    <xf numFmtId="37" fontId="50" fillId="8" borderId="39" xfId="0" applyNumberFormat="1" applyFont="1" applyFill="1" applyBorder="1" applyProtection="1">
      <protection locked="0"/>
    </xf>
    <xf numFmtId="49" fontId="27" fillId="8" borderId="7" xfId="0" applyNumberFormat="1" applyFont="1" applyFill="1" applyBorder="1" applyAlignment="1" applyProtection="1">
      <alignment horizontal="center"/>
      <protection locked="0"/>
    </xf>
    <xf numFmtId="0" fontId="49" fillId="0" borderId="62" xfId="0" applyFont="1" applyBorder="1"/>
    <xf numFmtId="164" fontId="50" fillId="8" borderId="62" xfId="0" applyNumberFormat="1" applyFont="1" applyFill="1" applyBorder="1" applyProtection="1">
      <protection locked="0"/>
    </xf>
    <xf numFmtId="0" fontId="82" fillId="0" borderId="83" xfId="0" applyFont="1" applyBorder="1" applyAlignment="1">
      <alignment vertical="top"/>
    </xf>
    <xf numFmtId="0" fontId="82" fillId="0" borderId="77" xfId="0" applyFont="1" applyBorder="1" applyAlignment="1">
      <alignment vertical="top"/>
    </xf>
    <xf numFmtId="0" fontId="82" fillId="0" borderId="75" xfId="0" quotePrefix="1" applyFont="1" applyBorder="1" applyAlignment="1">
      <alignment horizontal="right" vertical="top"/>
    </xf>
    <xf numFmtId="0" fontId="61" fillId="0" borderId="0" xfId="0" applyFont="1" applyAlignment="1">
      <alignment horizontal="center"/>
    </xf>
    <xf numFmtId="0" fontId="31" fillId="0" borderId="75" xfId="0" applyFont="1" applyBorder="1" applyAlignment="1">
      <alignment horizontal="center" wrapText="1"/>
    </xf>
    <xf numFmtId="43" fontId="18" fillId="0" borderId="75" xfId="0" applyNumberFormat="1" applyFont="1" applyBorder="1" applyAlignment="1">
      <alignment horizontal="center"/>
    </xf>
    <xf numFmtId="49" fontId="26" fillId="8" borderId="75" xfId="0" applyNumberFormat="1" applyFont="1" applyFill="1" applyBorder="1" applyAlignment="1" applyProtection="1">
      <alignment horizontal="center"/>
      <protection locked="0"/>
    </xf>
    <xf numFmtId="0" fontId="18" fillId="2" borderId="71" xfId="0" applyFont="1" applyFill="1" applyBorder="1" applyAlignment="1">
      <alignment horizontal="center" vertical="center"/>
    </xf>
    <xf numFmtId="0" fontId="18" fillId="2" borderId="73" xfId="0" applyFont="1" applyFill="1" applyBorder="1" applyAlignment="1">
      <alignment horizontal="center" vertical="center"/>
    </xf>
    <xf numFmtId="0" fontId="18" fillId="2" borderId="98" xfId="0" applyFont="1" applyFill="1" applyBorder="1" applyAlignment="1">
      <alignment horizontal="center" vertical="center"/>
    </xf>
    <xf numFmtId="0" fontId="18" fillId="2" borderId="0" xfId="0" applyFont="1" applyFill="1" applyAlignment="1">
      <alignment horizontal="center" vertical="center"/>
    </xf>
    <xf numFmtId="0" fontId="18" fillId="2" borderId="99" xfId="0" applyFont="1" applyFill="1" applyBorder="1" applyAlignment="1">
      <alignment horizontal="center" vertical="center"/>
    </xf>
    <xf numFmtId="0" fontId="18" fillId="2" borderId="100" xfId="0" applyFont="1" applyFill="1" applyBorder="1" applyAlignment="1">
      <alignment horizontal="center" vertical="center"/>
    </xf>
    <xf numFmtId="0" fontId="18" fillId="2" borderId="101" xfId="0" applyFont="1" applyFill="1" applyBorder="1" applyAlignment="1">
      <alignment horizontal="center" vertical="center"/>
    </xf>
    <xf numFmtId="43" fontId="18" fillId="2" borderId="26" xfId="0" applyNumberFormat="1" applyFont="1" applyFill="1" applyBorder="1" applyAlignment="1">
      <alignment horizontal="center"/>
    </xf>
    <xf numFmtId="43" fontId="18" fillId="2" borderId="12" xfId="0" applyNumberFormat="1" applyFont="1" applyFill="1" applyBorder="1" applyAlignment="1">
      <alignment horizontal="center"/>
    </xf>
    <xf numFmtId="43" fontId="18" fillId="2" borderId="13" xfId="0" applyNumberFormat="1" applyFont="1" applyFill="1" applyBorder="1" applyAlignment="1">
      <alignment horizontal="center"/>
    </xf>
    <xf numFmtId="0" fontId="18" fillId="2" borderId="26" xfId="0" applyFont="1" applyFill="1" applyBorder="1" applyAlignment="1">
      <alignment horizontal="center"/>
    </xf>
    <xf numFmtId="0" fontId="18" fillId="2" borderId="13" xfId="0" applyFont="1" applyFill="1" applyBorder="1" applyAlignment="1">
      <alignment horizontal="center"/>
    </xf>
    <xf numFmtId="0" fontId="38" fillId="0" borderId="62" xfId="0" applyFont="1" applyBorder="1" applyAlignment="1">
      <alignment horizontal="right" vertical="top"/>
    </xf>
    <xf numFmtId="0" fontId="37" fillId="0" borderId="77" xfId="0" applyFont="1" applyBorder="1" applyAlignment="1">
      <alignment horizontal="center"/>
    </xf>
    <xf numFmtId="0" fontId="28" fillId="0" borderId="12" xfId="0" applyFont="1" applyBorder="1" applyAlignment="1">
      <alignment horizontal="left" vertical="top" wrapText="1"/>
    </xf>
    <xf numFmtId="0" fontId="38" fillId="0" borderId="3" xfId="0" applyFont="1" applyBorder="1" applyAlignment="1">
      <alignment vertical="top" wrapText="1"/>
    </xf>
    <xf numFmtId="0" fontId="38" fillId="0" borderId="9" xfId="0" applyFont="1" applyBorder="1" applyAlignment="1">
      <alignment vertical="top" wrapText="1"/>
    </xf>
    <xf numFmtId="0" fontId="14" fillId="0" borderId="0" xfId="0" applyFont="1" applyAlignment="1">
      <alignment horizontal="center" vertical="center"/>
    </xf>
    <xf numFmtId="43" fontId="45" fillId="2" borderId="48" xfId="0" applyNumberFormat="1" applyFont="1" applyFill="1" applyBorder="1" applyAlignment="1">
      <alignment horizontal="right"/>
    </xf>
    <xf numFmtId="0" fontId="12" fillId="2" borderId="58" xfId="0" applyFont="1" applyFill="1" applyBorder="1" applyAlignment="1">
      <alignment horizontal="right"/>
    </xf>
    <xf numFmtId="43" fontId="46" fillId="2" borderId="63" xfId="0" applyNumberFormat="1" applyFont="1" applyFill="1" applyBorder="1" applyAlignment="1">
      <alignment horizontal="right"/>
    </xf>
    <xf numFmtId="0" fontId="12" fillId="2" borderId="64" xfId="0" applyFont="1" applyFill="1" applyBorder="1" applyAlignment="1">
      <alignment horizontal="right"/>
    </xf>
    <xf numFmtId="0" fontId="44" fillId="2" borderId="3" xfId="0" applyFont="1" applyFill="1" applyBorder="1" applyAlignment="1">
      <alignment horizontal="right"/>
    </xf>
    <xf numFmtId="164" fontId="45" fillId="2" borderId="50" xfId="0" applyNumberFormat="1" applyFont="1" applyFill="1" applyBorder="1"/>
    <xf numFmtId="0" fontId="46" fillId="2" borderId="51" xfId="0" applyFont="1" applyFill="1" applyBorder="1"/>
    <xf numFmtId="39" fontId="44" fillId="2" borderId="48" xfId="0" applyNumberFormat="1" applyFont="1" applyFill="1" applyBorder="1" applyAlignment="1">
      <alignment horizontal="right"/>
    </xf>
    <xf numFmtId="0" fontId="44" fillId="2" borderId="48" xfId="0" applyFont="1" applyFill="1" applyBorder="1" applyAlignment="1">
      <alignment horizontal="right"/>
    </xf>
    <xf numFmtId="164" fontId="45" fillId="2" borderId="48" xfId="0" applyNumberFormat="1" applyFont="1" applyFill="1" applyBorder="1"/>
    <xf numFmtId="164" fontId="45" fillId="2" borderId="52" xfId="0" applyNumberFormat="1" applyFont="1" applyFill="1" applyBorder="1"/>
    <xf numFmtId="164" fontId="45" fillId="2" borderId="3" xfId="0" applyNumberFormat="1" applyFont="1" applyFill="1" applyBorder="1"/>
    <xf numFmtId="0" fontId="45" fillId="2" borderId="20" xfId="0" applyFont="1" applyFill="1" applyBorder="1"/>
    <xf numFmtId="0" fontId="40" fillId="0" borderId="3" xfId="0" applyFont="1" applyBorder="1" applyAlignment="1">
      <alignment vertical="top" wrapText="1"/>
    </xf>
    <xf numFmtId="43" fontId="35" fillId="0" borderId="75" xfId="0" applyNumberFormat="1" applyFont="1" applyBorder="1"/>
    <xf numFmtId="39" fontId="18" fillId="5" borderId="75" xfId="0" applyNumberFormat="1" applyFont="1" applyFill="1" applyBorder="1"/>
    <xf numFmtId="0" fontId="12" fillId="5" borderId="75" xfId="0" applyFont="1" applyFill="1" applyBorder="1"/>
    <xf numFmtId="0" fontId="44" fillId="2" borderId="2" xfId="0" applyFont="1" applyFill="1" applyBorder="1" applyAlignment="1">
      <alignment horizontal="right" vertical="top"/>
    </xf>
    <xf numFmtId="0" fontId="44" fillId="2" borderId="2" xfId="0" applyFont="1" applyFill="1" applyBorder="1" applyAlignment="1">
      <alignment horizontal="right"/>
    </xf>
    <xf numFmtId="43" fontId="45" fillId="2" borderId="3" xfId="0" applyNumberFormat="1" applyFont="1" applyFill="1" applyBorder="1" applyAlignment="1">
      <alignment horizontal="right"/>
    </xf>
    <xf numFmtId="0" fontId="12" fillId="2" borderId="57" xfId="0" applyFont="1" applyFill="1" applyBorder="1" applyAlignment="1">
      <alignment horizontal="right"/>
    </xf>
    <xf numFmtId="43" fontId="46" fillId="2" borderId="3" xfId="0" applyNumberFormat="1" applyFont="1" applyFill="1" applyBorder="1" applyAlignment="1">
      <alignment horizontal="right"/>
    </xf>
    <xf numFmtId="43" fontId="35" fillId="8" borderId="75" xfId="0" applyNumberFormat="1" applyFont="1" applyFill="1" applyBorder="1" applyProtection="1">
      <protection locked="0"/>
    </xf>
    <xf numFmtId="43" fontId="45" fillId="2" borderId="50" xfId="0" applyNumberFormat="1" applyFont="1" applyFill="1" applyBorder="1" applyAlignment="1">
      <alignment horizontal="right"/>
    </xf>
    <xf numFmtId="0" fontId="12" fillId="2" borderId="56" xfId="0" applyFont="1" applyFill="1" applyBorder="1" applyAlignment="1">
      <alignment horizontal="right"/>
    </xf>
    <xf numFmtId="43" fontId="35" fillId="8" borderId="75" xfId="0" applyNumberFormat="1" applyFont="1" applyFill="1" applyBorder="1" applyAlignment="1" applyProtection="1">
      <alignment horizontal="center"/>
      <protection locked="0"/>
    </xf>
    <xf numFmtId="4" fontId="18" fillId="5" borderId="104" xfId="0" applyNumberFormat="1" applyFont="1" applyFill="1" applyBorder="1"/>
    <xf numFmtId="4" fontId="12" fillId="5" borderId="105" xfId="0" applyNumberFormat="1" applyFont="1" applyFill="1" applyBorder="1"/>
    <xf numFmtId="43" fontId="46" fillId="2" borderId="65" xfId="0" applyNumberFormat="1" applyFont="1" applyFill="1" applyBorder="1" applyAlignment="1">
      <alignment horizontal="right"/>
    </xf>
    <xf numFmtId="0" fontId="12" fillId="2" borderId="62" xfId="0" applyFont="1" applyFill="1" applyBorder="1" applyAlignment="1">
      <alignment horizontal="right"/>
    </xf>
    <xf numFmtId="164" fontId="48" fillId="5" borderId="25" xfId="0" applyNumberFormat="1" applyFont="1" applyFill="1" applyBorder="1"/>
    <xf numFmtId="164" fontId="48" fillId="5" borderId="30" xfId="0" applyNumberFormat="1" applyFont="1" applyFill="1" applyBorder="1"/>
    <xf numFmtId="0" fontId="55" fillId="3" borderId="0" xfId="0" applyFont="1" applyFill="1" applyAlignment="1">
      <alignment horizontal="left" vertical="top" wrapText="1"/>
    </xf>
    <xf numFmtId="0" fontId="12" fillId="0" borderId="0" xfId="0" applyFont="1" applyAlignment="1">
      <alignment wrapText="1"/>
    </xf>
    <xf numFmtId="0" fontId="28" fillId="0" borderId="29" xfId="0" applyFont="1" applyBorder="1" applyAlignment="1">
      <alignment vertical="top" wrapText="1"/>
    </xf>
    <xf numFmtId="0" fontId="28" fillId="0" borderId="30" xfId="0" applyFont="1" applyBorder="1"/>
    <xf numFmtId="39" fontId="18" fillId="3" borderId="75" xfId="0" applyNumberFormat="1" applyFont="1" applyFill="1" applyBorder="1"/>
    <xf numFmtId="0" fontId="12" fillId="0" borderId="75" xfId="0" applyFont="1" applyBorder="1"/>
    <xf numFmtId="0" fontId="28" fillId="0" borderId="1" xfId="0" applyFont="1" applyBorder="1" applyAlignment="1">
      <alignment vertical="top" wrapText="1"/>
    </xf>
    <xf numFmtId="0" fontId="12" fillId="0" borderId="1" xfId="0" applyFont="1" applyBorder="1" applyAlignment="1">
      <alignment vertical="top" wrapText="1"/>
    </xf>
    <xf numFmtId="0" fontId="12" fillId="0" borderId="5" xfId="0" applyFont="1" applyBorder="1"/>
    <xf numFmtId="0" fontId="28" fillId="0" borderId="0" xfId="0" applyFont="1" applyAlignment="1">
      <alignment vertical="top" wrapText="1"/>
    </xf>
    <xf numFmtId="0" fontId="12" fillId="0" borderId="0" xfId="0" applyFont="1" applyAlignment="1">
      <alignment vertical="top" wrapText="1"/>
    </xf>
    <xf numFmtId="0" fontId="12" fillId="0" borderId="7" xfId="0" applyFont="1" applyBorder="1"/>
    <xf numFmtId="39" fontId="18" fillId="3" borderId="25" xfId="0" applyNumberFormat="1" applyFont="1" applyFill="1" applyBorder="1"/>
    <xf numFmtId="0" fontId="12" fillId="0" borderId="106" xfId="0" applyFont="1" applyBorder="1"/>
    <xf numFmtId="0" fontId="31" fillId="0" borderId="29" xfId="0" applyFont="1" applyBorder="1" applyAlignment="1">
      <alignment vertical="top" wrapText="1"/>
    </xf>
    <xf numFmtId="0" fontId="31" fillId="0" borderId="30" xfId="0" applyFont="1" applyBorder="1"/>
    <xf numFmtId="0" fontId="57" fillId="0" borderId="29" xfId="0" applyFont="1" applyBorder="1" applyAlignment="1">
      <alignment vertical="top" wrapText="1"/>
    </xf>
    <xf numFmtId="0" fontId="28" fillId="0" borderId="37" xfId="0" applyFont="1" applyBorder="1" applyAlignment="1">
      <alignment vertical="top" wrapText="1"/>
    </xf>
    <xf numFmtId="0" fontId="28" fillId="0" borderId="36" xfId="0" applyFont="1" applyBorder="1"/>
    <xf numFmtId="0" fontId="28" fillId="0" borderId="82" xfId="0" applyFont="1" applyBorder="1"/>
    <xf numFmtId="0" fontId="31" fillId="0" borderId="1" xfId="0" applyFont="1" applyBorder="1" applyAlignment="1">
      <alignment vertical="top" wrapText="1"/>
    </xf>
    <xf numFmtId="0" fontId="18" fillId="0" borderId="1" xfId="0" applyFont="1" applyBorder="1"/>
    <xf numFmtId="164" fontId="29" fillId="5" borderId="24" xfId="0" applyNumberFormat="1" applyFont="1" applyFill="1" applyBorder="1"/>
    <xf numFmtId="164" fontId="29" fillId="5" borderId="11" xfId="0" applyNumberFormat="1" applyFont="1" applyFill="1" applyBorder="1"/>
    <xf numFmtId="164" fontId="29" fillId="2" borderId="24" xfId="0" applyNumberFormat="1" applyFont="1" applyFill="1" applyBorder="1"/>
    <xf numFmtId="164" fontId="12" fillId="2" borderId="11" xfId="0" applyNumberFormat="1" applyFont="1" applyFill="1" applyBorder="1"/>
    <xf numFmtId="164" fontId="50" fillId="8" borderId="22" xfId="0" applyNumberFormat="1" applyFont="1" applyFill="1" applyBorder="1" applyProtection="1">
      <protection locked="0"/>
    </xf>
    <xf numFmtId="164" fontId="50" fillId="2" borderId="22" xfId="0" applyNumberFormat="1" applyFont="1" applyFill="1" applyBorder="1"/>
    <xf numFmtId="0" fontId="28" fillId="0" borderId="99" xfId="0" applyFont="1" applyBorder="1"/>
    <xf numFmtId="0" fontId="31" fillId="0" borderId="5" xfId="0" applyFont="1" applyBorder="1"/>
    <xf numFmtId="164" fontId="48" fillId="5" borderId="26" xfId="0" applyNumberFormat="1" applyFont="1" applyFill="1" applyBorder="1"/>
    <xf numFmtId="164" fontId="48" fillId="5" borderId="13" xfId="0" applyNumberFormat="1" applyFont="1" applyFill="1" applyBorder="1"/>
    <xf numFmtId="0" fontId="18" fillId="0" borderId="1" xfId="0" applyFont="1" applyBorder="1" applyAlignment="1">
      <alignment vertical="top" wrapText="1"/>
    </xf>
    <xf numFmtId="0" fontId="31" fillId="6" borderId="34" xfId="0" applyFont="1" applyFill="1" applyBorder="1" applyAlignment="1">
      <alignment horizontal="center" wrapText="1"/>
    </xf>
    <xf numFmtId="0" fontId="12" fillId="0" borderId="33" xfId="0" applyFont="1" applyBorder="1" applyAlignment="1">
      <alignment horizontal="center" wrapText="1"/>
    </xf>
    <xf numFmtId="0" fontId="12" fillId="0" borderId="5" xfId="0" applyFont="1" applyBorder="1" applyAlignment="1">
      <alignment horizontal="center" wrapText="1"/>
    </xf>
    <xf numFmtId="164" fontId="51" fillId="5" borderId="22" xfId="0" applyNumberFormat="1" applyFont="1" applyFill="1" applyBorder="1"/>
    <xf numFmtId="164" fontId="50" fillId="8" borderId="61" xfId="0" applyNumberFormat="1" applyFont="1" applyFill="1" applyBorder="1" applyAlignment="1" applyProtection="1">
      <alignment horizontal="center"/>
      <protection locked="0"/>
    </xf>
    <xf numFmtId="164" fontId="50" fillId="8" borderId="20" xfId="0" applyNumberFormat="1" applyFont="1" applyFill="1" applyBorder="1" applyAlignment="1" applyProtection="1">
      <alignment horizontal="center"/>
      <protection locked="0"/>
    </xf>
    <xf numFmtId="0" fontId="18" fillId="0" borderId="0" xfId="0" applyFont="1"/>
    <xf numFmtId="0" fontId="12" fillId="0" borderId="0" xfId="0" applyFont="1"/>
    <xf numFmtId="49" fontId="27" fillId="8" borderId="14" xfId="0" applyNumberFormat="1" applyFont="1" applyFill="1" applyBorder="1" applyProtection="1">
      <protection locked="0"/>
    </xf>
    <xf numFmtId="49" fontId="27" fillId="8" borderId="0" xfId="0" applyNumberFormat="1" applyFont="1" applyFill="1" applyProtection="1">
      <protection locked="0"/>
    </xf>
    <xf numFmtId="49" fontId="27" fillId="8" borderId="7" xfId="0" applyNumberFormat="1" applyFont="1" applyFill="1" applyBorder="1" applyProtection="1">
      <protection locked="0"/>
    </xf>
    <xf numFmtId="0" fontId="12" fillId="0" borderId="13" xfId="0" applyFont="1" applyBorder="1" applyAlignment="1">
      <alignment horizontal="center"/>
    </xf>
    <xf numFmtId="0" fontId="30" fillId="8" borderId="4" xfId="0" applyFont="1" applyFill="1" applyBorder="1" applyAlignment="1" applyProtection="1">
      <alignment horizontal="center" vertical="center"/>
      <protection locked="0"/>
    </xf>
    <xf numFmtId="49" fontId="30" fillId="8" borderId="5" xfId="0" applyNumberFormat="1" applyFont="1" applyFill="1" applyBorder="1" applyAlignment="1" applyProtection="1">
      <alignment horizontal="center" vertical="center"/>
      <protection locked="0"/>
    </xf>
    <xf numFmtId="0" fontId="12" fillId="0" borderId="12" xfId="0" applyFont="1" applyBorder="1"/>
    <xf numFmtId="0" fontId="12" fillId="0" borderId="13" xfId="0" applyFont="1" applyBorder="1"/>
    <xf numFmtId="49" fontId="26" fillId="8" borderId="4" xfId="0" applyNumberFormat="1" applyFont="1" applyFill="1" applyBorder="1" applyAlignment="1" applyProtection="1">
      <alignment horizontal="center" vertical="center" wrapText="1"/>
      <protection locked="0"/>
    </xf>
    <xf numFmtId="49" fontId="27" fillId="8" borderId="1" xfId="0" applyNumberFormat="1" applyFont="1" applyFill="1" applyBorder="1" applyAlignment="1" applyProtection="1">
      <alignment horizontal="center" vertical="center"/>
      <protection locked="0"/>
    </xf>
    <xf numFmtId="49" fontId="27" fillId="8" borderId="5" xfId="0" applyNumberFormat="1" applyFont="1" applyFill="1" applyBorder="1" applyAlignment="1" applyProtection="1">
      <alignment horizontal="center" vertical="center"/>
      <protection locked="0"/>
    </xf>
    <xf numFmtId="49" fontId="27" fillId="8" borderId="14" xfId="0" applyNumberFormat="1" applyFont="1" applyFill="1" applyBorder="1" applyAlignment="1" applyProtection="1">
      <alignment horizontal="center"/>
      <protection locked="0"/>
    </xf>
    <xf numFmtId="49" fontId="27" fillId="8" borderId="7" xfId="0" applyNumberFormat="1" applyFont="1" applyFill="1" applyBorder="1" applyAlignment="1" applyProtection="1">
      <alignment horizontal="center"/>
      <protection locked="0"/>
    </xf>
    <xf numFmtId="49" fontId="27" fillId="8" borderId="4" xfId="0" applyNumberFormat="1" applyFont="1" applyFill="1" applyBorder="1" applyProtection="1">
      <protection locked="0"/>
    </xf>
    <xf numFmtId="49" fontId="27" fillId="8" borderId="1" xfId="0" applyNumberFormat="1" applyFont="1" applyFill="1" applyBorder="1" applyProtection="1">
      <protection locked="0"/>
    </xf>
    <xf numFmtId="49" fontId="27" fillId="8" borderId="5" xfId="0" applyNumberFormat="1" applyFont="1" applyFill="1" applyBorder="1" applyProtection="1">
      <protection locked="0"/>
    </xf>
    <xf numFmtId="49" fontId="30" fillId="8" borderId="4" xfId="0" applyNumberFormat="1" applyFont="1" applyFill="1" applyBorder="1" applyAlignment="1" applyProtection="1">
      <alignment horizontal="center" vertical="center"/>
      <protection locked="0"/>
    </xf>
    <xf numFmtId="49" fontId="30" fillId="10" borderId="4" xfId="0" applyNumberFormat="1" applyFont="1" applyFill="1" applyBorder="1" applyAlignment="1">
      <alignment horizontal="center" vertical="center"/>
    </xf>
    <xf numFmtId="49" fontId="30" fillId="10" borderId="5" xfId="0" applyNumberFormat="1" applyFont="1" applyFill="1" applyBorder="1" applyAlignment="1">
      <alignment horizontal="center" vertical="center"/>
    </xf>
    <xf numFmtId="49" fontId="26" fillId="8" borderId="4" xfId="0" applyNumberFormat="1" applyFont="1" applyFill="1" applyBorder="1" applyAlignment="1" applyProtection="1">
      <alignment horizontal="center" vertical="center"/>
      <protection locked="0"/>
    </xf>
    <xf numFmtId="49" fontId="26" fillId="8" borderId="1" xfId="0" applyNumberFormat="1" applyFont="1" applyFill="1" applyBorder="1" applyAlignment="1" applyProtection="1">
      <alignment horizontal="center" vertical="center"/>
      <protection locked="0"/>
    </xf>
    <xf numFmtId="49" fontId="26" fillId="8" borderId="5" xfId="0" applyNumberFormat="1" applyFont="1" applyFill="1" applyBorder="1" applyAlignment="1" applyProtection="1">
      <alignment horizontal="center" vertical="center"/>
      <protection locked="0"/>
    </xf>
    <xf numFmtId="0" fontId="26" fillId="8" borderId="4" xfId="0" applyFont="1" applyFill="1" applyBorder="1" applyAlignment="1" applyProtection="1">
      <alignment horizontal="center" vertical="center"/>
      <protection locked="0"/>
    </xf>
    <xf numFmtId="49" fontId="27" fillId="8" borderId="4" xfId="0" applyNumberFormat="1" applyFont="1" applyFill="1" applyBorder="1" applyAlignment="1" applyProtection="1">
      <alignment horizontal="center"/>
      <protection locked="0"/>
    </xf>
    <xf numFmtId="49" fontId="27" fillId="8" borderId="5" xfId="0" applyNumberFormat="1" applyFont="1" applyFill="1" applyBorder="1" applyAlignment="1" applyProtection="1">
      <alignment horizontal="center"/>
      <protection locked="0"/>
    </xf>
    <xf numFmtId="0" fontId="18" fillId="2" borderId="26" xfId="0" applyFont="1" applyFill="1" applyBorder="1" applyAlignment="1">
      <alignment horizontal="center" vertical="center"/>
    </xf>
    <xf numFmtId="0" fontId="12" fillId="0" borderId="13" xfId="0" applyFont="1" applyBorder="1" applyAlignment="1">
      <alignment horizontal="center" vertical="center"/>
    </xf>
    <xf numFmtId="0" fontId="48" fillId="6" borderId="23" xfId="0" applyFont="1" applyFill="1" applyBorder="1" applyAlignment="1">
      <alignment horizontal="center" wrapText="1"/>
    </xf>
    <xf numFmtId="0" fontId="29" fillId="0" borderId="18" xfId="0" applyFont="1" applyBorder="1" applyAlignment="1">
      <alignment horizontal="center" wrapText="1"/>
    </xf>
    <xf numFmtId="49" fontId="30" fillId="8" borderId="1" xfId="0" applyNumberFormat="1" applyFont="1" applyFill="1" applyBorder="1" applyAlignment="1" applyProtection="1">
      <alignment horizontal="center" vertical="center"/>
      <protection locked="0"/>
    </xf>
    <xf numFmtId="164" fontId="12" fillId="5" borderId="11" xfId="0" applyNumberFormat="1" applyFont="1" applyFill="1" applyBorder="1"/>
    <xf numFmtId="0" fontId="12" fillId="0" borderId="12" xfId="0" applyFont="1" applyBorder="1" applyAlignment="1">
      <alignment horizontal="center" vertical="top"/>
    </xf>
    <xf numFmtId="0" fontId="12" fillId="0" borderId="8" xfId="0" applyFont="1" applyBorder="1"/>
    <xf numFmtId="49" fontId="28" fillId="8" borderId="4" xfId="0" applyNumberFormat="1" applyFont="1" applyFill="1" applyBorder="1" applyAlignment="1" applyProtection="1">
      <alignment horizontal="left" vertical="top"/>
      <protection locked="0"/>
    </xf>
    <xf numFmtId="49" fontId="12" fillId="8" borderId="1" xfId="0" applyNumberFormat="1" applyFont="1" applyFill="1" applyBorder="1" applyAlignment="1" applyProtection="1">
      <alignment horizontal="left" vertical="top"/>
      <protection locked="0"/>
    </xf>
    <xf numFmtId="49" fontId="12" fillId="8" borderId="5" xfId="0" applyNumberFormat="1" applyFont="1" applyFill="1" applyBorder="1" applyAlignment="1" applyProtection="1">
      <alignment horizontal="left" vertical="top"/>
      <protection locked="0"/>
    </xf>
    <xf numFmtId="164" fontId="50" fillId="8" borderId="31" xfId="0" applyNumberFormat="1" applyFont="1" applyFill="1" applyBorder="1" applyProtection="1">
      <protection locked="0"/>
    </xf>
    <xf numFmtId="0" fontId="12" fillId="0" borderId="75" xfId="0" applyFont="1" applyBorder="1" applyAlignment="1">
      <alignment horizontal="left" vertical="center" wrapText="1"/>
    </xf>
    <xf numFmtId="39" fontId="18" fillId="5" borderId="40" xfId="0" applyNumberFormat="1" applyFont="1" applyFill="1" applyBorder="1"/>
    <xf numFmtId="0" fontId="12" fillId="5" borderId="41" xfId="0" applyFont="1" applyFill="1" applyBorder="1"/>
    <xf numFmtId="0" fontId="12" fillId="0" borderId="42" xfId="0" applyFont="1" applyBorder="1"/>
    <xf numFmtId="0" fontId="12" fillId="0" borderId="43" xfId="0" applyFont="1" applyBorder="1"/>
    <xf numFmtId="0" fontId="31" fillId="0" borderId="12" xfId="0" applyFont="1" applyBorder="1" applyAlignment="1">
      <alignment horizontal="center" wrapText="1"/>
    </xf>
    <xf numFmtId="0" fontId="31" fillId="0" borderId="12" xfId="0" applyFont="1" applyBorder="1" applyAlignment="1">
      <alignment vertical="top" wrapText="1"/>
    </xf>
    <xf numFmtId="0" fontId="18" fillId="0" borderId="12" xfId="0" applyFont="1" applyBorder="1" applyAlignment="1">
      <alignment vertical="top" wrapText="1"/>
    </xf>
    <xf numFmtId="0" fontId="48" fillId="6" borderId="23" xfId="0" applyFont="1" applyFill="1" applyBorder="1" applyAlignment="1">
      <alignment horizontal="center"/>
    </xf>
    <xf numFmtId="0" fontId="29" fillId="0" borderId="13" xfId="0" applyFont="1" applyBorder="1" applyAlignment="1">
      <alignment horizontal="center"/>
    </xf>
    <xf numFmtId="0" fontId="31" fillId="0" borderId="0" xfId="0" applyFont="1" applyAlignment="1">
      <alignment horizontal="center" wrapText="1"/>
    </xf>
    <xf numFmtId="0" fontId="18" fillId="0" borderId="1" xfId="0" applyFont="1" applyBorder="1" applyAlignment="1">
      <alignment wrapText="1"/>
    </xf>
    <xf numFmtId="0" fontId="12" fillId="0" borderId="1" xfId="0" applyFont="1" applyBorder="1" applyAlignment="1">
      <alignment wrapText="1"/>
    </xf>
    <xf numFmtId="0" fontId="78" fillId="0" borderId="74" xfId="0" applyFont="1" applyBorder="1" applyAlignment="1">
      <alignment horizontal="right"/>
    </xf>
    <xf numFmtId="0" fontId="76" fillId="0" borderId="5" xfId="0" applyFont="1" applyBorder="1" applyAlignment="1">
      <alignment horizontal="right"/>
    </xf>
    <xf numFmtId="39" fontId="85" fillId="8" borderId="77" xfId="2" applyNumberFormat="1" applyFont="1" applyFill="1" applyBorder="1" applyAlignment="1" applyProtection="1">
      <protection locked="0"/>
    </xf>
    <xf numFmtId="39" fontId="85" fillId="8" borderId="78" xfId="2" applyNumberFormat="1" applyFont="1" applyFill="1" applyBorder="1" applyAlignment="1" applyProtection="1">
      <protection locked="0"/>
    </xf>
    <xf numFmtId="39" fontId="76" fillId="15" borderId="77" xfId="2" applyNumberFormat="1" applyFont="1" applyFill="1" applyBorder="1" applyAlignment="1" applyProtection="1"/>
    <xf numFmtId="39" fontId="76" fillId="15" borderId="78" xfId="2" applyNumberFormat="1" applyFont="1" applyFill="1" applyBorder="1" applyAlignment="1" applyProtection="1"/>
    <xf numFmtId="0" fontId="82" fillId="0" borderId="139" xfId="0" applyFont="1" applyBorder="1" applyAlignment="1">
      <alignment vertical="top" wrapText="1"/>
    </xf>
    <xf numFmtId="0" fontId="32" fillId="0" borderId="138" xfId="0" applyFont="1" applyBorder="1"/>
    <xf numFmtId="0" fontId="32" fillId="0" borderId="137" xfId="0" applyFont="1" applyBorder="1"/>
    <xf numFmtId="0" fontId="12" fillId="14" borderId="0" xfId="0" applyFont="1" applyFill="1" applyAlignment="1">
      <alignment vertical="top" wrapText="1"/>
    </xf>
    <xf numFmtId="0" fontId="12" fillId="14" borderId="7" xfId="0" applyFont="1" applyFill="1" applyBorder="1" applyAlignment="1">
      <alignment vertical="top" wrapText="1"/>
    </xf>
    <xf numFmtId="0" fontId="40" fillId="0" borderId="14" xfId="0" applyFont="1" applyBorder="1" applyAlignment="1">
      <alignment horizontal="right"/>
    </xf>
    <xf numFmtId="0" fontId="75" fillId="0" borderId="75" xfId="0" applyFont="1" applyBorder="1" applyAlignment="1">
      <alignment horizontal="center"/>
    </xf>
    <xf numFmtId="0" fontId="65" fillId="0" borderId="75" xfId="0" applyFont="1" applyBorder="1" applyAlignment="1">
      <alignment horizontal="center"/>
    </xf>
    <xf numFmtId="0" fontId="82" fillId="0" borderId="77" xfId="0" applyFont="1" applyBorder="1"/>
    <xf numFmtId="0" fontId="82" fillId="0" borderId="83" xfId="0" applyFont="1" applyBorder="1"/>
    <xf numFmtId="0" fontId="82" fillId="0" borderId="78" xfId="0" applyFont="1" applyBorder="1"/>
    <xf numFmtId="0" fontId="76" fillId="0" borderId="0" xfId="0" applyFont="1"/>
    <xf numFmtId="0" fontId="66" fillId="9" borderId="0" xfId="0" quotePrefix="1" applyFont="1" applyFill="1" applyAlignment="1">
      <alignment horizontal="left"/>
    </xf>
    <xf numFmtId="0" fontId="66" fillId="9" borderId="0" xfId="0" applyFont="1" applyFill="1" applyAlignment="1">
      <alignment horizontal="left"/>
    </xf>
    <xf numFmtId="0" fontId="12" fillId="9" borderId="0" xfId="0" applyFont="1" applyFill="1"/>
    <xf numFmtId="0" fontId="40" fillId="0" borderId="94" xfId="0" applyFont="1" applyBorder="1" applyAlignment="1">
      <alignment horizontal="right"/>
    </xf>
    <xf numFmtId="0" fontId="40" fillId="0" borderId="86" xfId="0" applyFont="1" applyBorder="1" applyAlignment="1">
      <alignment horizontal="right"/>
    </xf>
    <xf numFmtId="0" fontId="75" fillId="0" borderId="77" xfId="0" applyFont="1" applyBorder="1" applyAlignment="1">
      <alignment horizontal="center"/>
    </xf>
    <xf numFmtId="0" fontId="75" fillId="0" borderId="78" xfId="0" applyFont="1" applyBorder="1" applyAlignment="1">
      <alignment horizontal="center"/>
    </xf>
    <xf numFmtId="0" fontId="65" fillId="0" borderId="78" xfId="0" applyFont="1" applyBorder="1" applyAlignment="1">
      <alignment horizontal="center"/>
    </xf>
    <xf numFmtId="0" fontId="66" fillId="0" borderId="74" xfId="0" applyFont="1" applyBorder="1"/>
    <xf numFmtId="0" fontId="66" fillId="0" borderId="5" xfId="0" applyFont="1" applyBorder="1"/>
    <xf numFmtId="0" fontId="76" fillId="0" borderId="77" xfId="0" applyFont="1" applyBorder="1"/>
    <xf numFmtId="0" fontId="76" fillId="0" borderId="83" xfId="0" applyFont="1" applyBorder="1"/>
    <xf numFmtId="0" fontId="12" fillId="0" borderId="83" xfId="0" applyFont="1" applyBorder="1"/>
    <xf numFmtId="0" fontId="12" fillId="0" borderId="78" xfId="0" applyFont="1" applyBorder="1"/>
    <xf numFmtId="39" fontId="78" fillId="7" borderId="77" xfId="2" applyNumberFormat="1" applyFont="1" applyFill="1" applyBorder="1" applyAlignment="1"/>
    <xf numFmtId="39" fontId="78" fillId="7" borderId="78" xfId="2" applyNumberFormat="1" applyFont="1" applyFill="1" applyBorder="1" applyAlignment="1"/>
    <xf numFmtId="0" fontId="86" fillId="0" borderId="0" xfId="0" applyFont="1"/>
    <xf numFmtId="0" fontId="86" fillId="0" borderId="7" xfId="0" applyFont="1" applyBorder="1"/>
    <xf numFmtId="0" fontId="88" fillId="0" borderId="94" xfId="0" applyFont="1" applyBorder="1" applyAlignment="1">
      <alignment horizontal="right"/>
    </xf>
    <xf numFmtId="0" fontId="88" fillId="0" borderId="86" xfId="0" applyFont="1" applyBorder="1" applyAlignment="1">
      <alignment horizontal="right"/>
    </xf>
    <xf numFmtId="0" fontId="76" fillId="0" borderId="139" xfId="0" applyFont="1" applyBorder="1" applyAlignment="1">
      <alignment vertical="top" wrapText="1"/>
    </xf>
    <xf numFmtId="0" fontId="12" fillId="0" borderId="138" xfId="0" applyFont="1" applyBorder="1"/>
    <xf numFmtId="0" fontId="12" fillId="0" borderId="137" xfId="0" applyFont="1" applyBorder="1"/>
    <xf numFmtId="0" fontId="85" fillId="0" borderId="94" xfId="0" applyFont="1" applyBorder="1" applyAlignment="1">
      <alignment horizontal="right"/>
    </xf>
    <xf numFmtId="0" fontId="85" fillId="0" borderId="86" xfId="0" applyFont="1" applyBorder="1" applyAlignment="1">
      <alignment horizontal="right"/>
    </xf>
    <xf numFmtId="0" fontId="59" fillId="0" borderId="75" xfId="0" applyFont="1" applyBorder="1" applyAlignment="1">
      <alignment horizontal="center"/>
    </xf>
    <xf numFmtId="0" fontId="33" fillId="0" borderId="75" xfId="0" applyFont="1" applyBorder="1" applyAlignment="1">
      <alignment horizontal="center"/>
    </xf>
    <xf numFmtId="0" fontId="82" fillId="0" borderId="14" xfId="0" applyFont="1" applyBorder="1" applyAlignment="1">
      <alignment vertical="top" wrapText="1"/>
    </xf>
    <xf numFmtId="0" fontId="32" fillId="0" borderId="0" xfId="0" applyFont="1"/>
    <xf numFmtId="0" fontId="32" fillId="0" borderId="7" xfId="0" applyFont="1" applyBorder="1"/>
    <xf numFmtId="0" fontId="76" fillId="0" borderId="14" xfId="0" applyFont="1" applyBorder="1" applyAlignment="1">
      <alignment vertical="top" wrapText="1"/>
    </xf>
    <xf numFmtId="39" fontId="76" fillId="7" borderId="77" xfId="2" applyNumberFormat="1" applyFont="1" applyFill="1" applyBorder="1" applyAlignment="1" applyProtection="1"/>
    <xf numFmtId="39" fontId="76" fillId="7" borderId="78" xfId="2" applyNumberFormat="1" applyFont="1" applyFill="1" applyBorder="1" applyAlignment="1" applyProtection="1"/>
    <xf numFmtId="39" fontId="85" fillId="7" borderId="77" xfId="2" applyNumberFormat="1" applyFont="1" applyFill="1" applyBorder="1" applyAlignment="1" applyProtection="1"/>
    <xf numFmtId="39" fontId="85" fillId="7" borderId="78" xfId="2" applyNumberFormat="1" applyFont="1" applyFill="1" applyBorder="1" applyAlignment="1" applyProtection="1"/>
    <xf numFmtId="0" fontId="32" fillId="0" borderId="83" xfId="0" applyFont="1" applyBorder="1"/>
    <xf numFmtId="0" fontId="32" fillId="0" borderId="78" xfId="0" applyFont="1" applyBorder="1"/>
    <xf numFmtId="0" fontId="56" fillId="7" borderId="78" xfId="0" applyFont="1" applyFill="1" applyBorder="1"/>
    <xf numFmtId="39" fontId="76" fillId="7" borderId="77" xfId="2" applyNumberFormat="1" applyFont="1" applyFill="1" applyBorder="1" applyAlignment="1"/>
    <xf numFmtId="39" fontId="76" fillId="7" borderId="78" xfId="2" applyNumberFormat="1" applyFont="1" applyFill="1" applyBorder="1" applyAlignment="1"/>
    <xf numFmtId="0" fontId="95" fillId="0" borderId="83" xfId="0" applyFont="1" applyBorder="1" applyAlignment="1">
      <alignment horizontal="left" wrapText="1"/>
    </xf>
    <xf numFmtId="0" fontId="95" fillId="0" borderId="78" xfId="0" applyFont="1" applyBorder="1" applyAlignment="1">
      <alignment horizontal="left" wrapText="1"/>
    </xf>
    <xf numFmtId="0" fontId="78" fillId="0" borderId="95" xfId="0" applyFont="1" applyBorder="1" applyAlignment="1">
      <alignment horizontal="right"/>
    </xf>
    <xf numFmtId="0" fontId="78" fillId="0" borderId="96" xfId="0" applyFont="1" applyBorder="1" applyAlignment="1">
      <alignment horizontal="right"/>
    </xf>
    <xf numFmtId="39" fontId="78" fillId="10" borderId="74" xfId="2" applyNumberFormat="1" applyFont="1" applyFill="1" applyBorder="1" applyAlignment="1">
      <alignment horizontal="right"/>
    </xf>
    <xf numFmtId="0" fontId="66" fillId="10" borderId="5" xfId="0" applyFont="1" applyFill="1" applyBorder="1" applyAlignment="1">
      <alignment horizontal="right"/>
    </xf>
    <xf numFmtId="39" fontId="78" fillId="15" borderId="77" xfId="2" applyNumberFormat="1" applyFont="1" applyFill="1" applyBorder="1" applyAlignment="1" applyProtection="1"/>
    <xf numFmtId="39" fontId="78" fillId="15" borderId="78" xfId="2" applyNumberFormat="1" applyFont="1" applyFill="1" applyBorder="1" applyAlignment="1" applyProtection="1"/>
    <xf numFmtId="39" fontId="84" fillId="7" borderId="77" xfId="2" applyNumberFormat="1" applyFont="1" applyFill="1" applyBorder="1" applyAlignment="1" applyProtection="1"/>
    <xf numFmtId="39" fontId="84" fillId="7" borderId="78" xfId="2" applyNumberFormat="1" applyFont="1" applyFill="1" applyBorder="1" applyAlignment="1" applyProtection="1"/>
    <xf numFmtId="0" fontId="76" fillId="0" borderId="74" xfId="0" applyFont="1" applyBorder="1"/>
    <xf numFmtId="39" fontId="78" fillId="0" borderId="77" xfId="2" applyNumberFormat="1" applyFont="1" applyBorder="1" applyAlignment="1" applyProtection="1"/>
    <xf numFmtId="39" fontId="78" fillId="0" borderId="78" xfId="2" applyNumberFormat="1" applyFont="1" applyBorder="1" applyAlignment="1" applyProtection="1"/>
    <xf numFmtId="0" fontId="76" fillId="0" borderId="75" xfId="0" applyFont="1" applyBorder="1" applyAlignment="1">
      <alignment vertical="top" wrapText="1"/>
    </xf>
    <xf numFmtId="0" fontId="78" fillId="0" borderId="139" xfId="0" applyFont="1" applyBorder="1" applyAlignment="1">
      <alignment vertical="top" wrapText="1"/>
    </xf>
    <xf numFmtId="0" fontId="78" fillId="0" borderId="138" xfId="0" applyFont="1" applyBorder="1" applyAlignment="1">
      <alignment vertical="top" wrapText="1"/>
    </xf>
    <xf numFmtId="0" fontId="12" fillId="0" borderId="141" xfId="0" applyFont="1" applyBorder="1"/>
    <xf numFmtId="39" fontId="78" fillId="7" borderId="89" xfId="2" applyNumberFormat="1" applyFont="1" applyFill="1" applyBorder="1" applyAlignment="1"/>
    <xf numFmtId="0" fontId="12" fillId="0" borderId="93" xfId="0" applyFont="1" applyBorder="1"/>
    <xf numFmtId="0" fontId="78" fillId="0" borderId="4" xfId="0" applyFont="1" applyBorder="1" applyAlignment="1">
      <alignment horizontal="right"/>
    </xf>
    <xf numFmtId="0" fontId="66" fillId="0" borderId="74" xfId="0" applyFont="1" applyBorder="1" applyAlignment="1">
      <alignment horizontal="right"/>
    </xf>
    <xf numFmtId="0" fontId="66" fillId="0" borderId="90" xfId="0" applyFont="1" applyBorder="1" applyAlignment="1">
      <alignment horizontal="right"/>
    </xf>
    <xf numFmtId="0" fontId="56" fillId="9" borderId="75" xfId="0" applyFont="1" applyFill="1" applyBorder="1" applyAlignment="1">
      <alignment horizontal="center" vertical="top"/>
    </xf>
    <xf numFmtId="0" fontId="75" fillId="12" borderId="75" xfId="0" quotePrefix="1" applyFont="1" applyFill="1" applyBorder="1" applyAlignment="1">
      <alignment horizontal="center"/>
    </xf>
    <xf numFmtId="0" fontId="75" fillId="12" borderId="75" xfId="0" applyFont="1" applyFill="1" applyBorder="1" applyAlignment="1">
      <alignment horizontal="center"/>
    </xf>
    <xf numFmtId="0" fontId="65" fillId="12" borderId="75" xfId="0" applyFont="1" applyFill="1" applyBorder="1" applyAlignment="1">
      <alignment horizontal="center"/>
    </xf>
    <xf numFmtId="0" fontId="68" fillId="12" borderId="75" xfId="0" applyFont="1" applyFill="1" applyBorder="1" applyAlignment="1">
      <alignment horizontal="center"/>
    </xf>
    <xf numFmtId="0" fontId="74" fillId="12" borderId="75" xfId="0" applyFont="1" applyFill="1" applyBorder="1" applyAlignment="1">
      <alignment horizontal="center"/>
    </xf>
    <xf numFmtId="0" fontId="56" fillId="9" borderId="75" xfId="0" applyFont="1" applyFill="1" applyBorder="1" applyAlignment="1">
      <alignment horizontal="center"/>
    </xf>
    <xf numFmtId="0" fontId="76" fillId="0" borderId="77" xfId="0" applyFont="1" applyBorder="1" applyAlignment="1">
      <alignment vertical="top" wrapText="1"/>
    </xf>
    <xf numFmtId="0" fontId="76" fillId="0" borderId="78" xfId="0" applyFont="1" applyBorder="1" applyAlignment="1">
      <alignment vertical="top" wrapText="1"/>
    </xf>
    <xf numFmtId="0" fontId="76" fillId="0" borderId="77" xfId="0" applyFont="1" applyBorder="1" applyAlignment="1">
      <alignment horizontal="left" vertical="top" wrapText="1"/>
    </xf>
    <xf numFmtId="0" fontId="76" fillId="0" borderId="78" xfId="0" applyFont="1" applyBorder="1" applyAlignment="1">
      <alignment horizontal="left" vertical="top" wrapText="1"/>
    </xf>
    <xf numFmtId="0" fontId="68" fillId="0" borderId="75" xfId="0" applyFont="1" applyBorder="1" applyAlignment="1" applyProtection="1">
      <alignment horizontal="center" vertical="top" wrapText="1"/>
      <protection hidden="1"/>
    </xf>
    <xf numFmtId="0" fontId="17" fillId="0" borderId="80" xfId="0" applyFont="1" applyBorder="1" applyAlignment="1" applyProtection="1">
      <alignment horizontal="center" vertical="top" wrapText="1"/>
      <protection hidden="1"/>
    </xf>
    <xf numFmtId="0" fontId="17" fillId="0" borderId="45" xfId="0" applyFont="1" applyBorder="1" applyAlignment="1" applyProtection="1">
      <alignment horizontal="center" vertical="top" wrapText="1"/>
      <protection hidden="1"/>
    </xf>
    <xf numFmtId="0" fontId="68" fillId="0" borderId="80" xfId="0" applyFont="1" applyBorder="1" applyAlignment="1" applyProtection="1">
      <alignment horizontal="center" vertical="center" wrapText="1"/>
      <protection hidden="1"/>
    </xf>
    <xf numFmtId="0" fontId="68" fillId="0" borderId="45" xfId="0" applyFont="1" applyBorder="1" applyAlignment="1" applyProtection="1">
      <alignment horizontal="center" vertical="center" wrapText="1"/>
      <protection hidden="1"/>
    </xf>
    <xf numFmtId="0" fontId="17" fillId="0" borderId="77" xfId="0" applyFont="1" applyBorder="1" applyAlignment="1">
      <alignment horizontal="center" vertical="center" wrapText="1"/>
    </xf>
    <xf numFmtId="0" fontId="17" fillId="0" borderId="78" xfId="0" applyFont="1" applyBorder="1" applyAlignment="1">
      <alignment horizontal="center" vertical="center" wrapText="1"/>
    </xf>
    <xf numFmtId="0" fontId="18" fillId="0" borderId="75" xfId="0" applyFont="1" applyBorder="1" applyAlignment="1">
      <alignment horizontal="center" vertical="center" wrapText="1"/>
    </xf>
    <xf numFmtId="0" fontId="18" fillId="0" borderId="134" xfId="0" applyFont="1" applyBorder="1" applyAlignment="1">
      <alignment horizontal="center" vertical="center" wrapText="1"/>
    </xf>
    <xf numFmtId="0" fontId="68" fillId="0" borderId="110" xfId="0" applyFont="1" applyBorder="1" applyAlignment="1">
      <alignment horizontal="center" vertical="center"/>
    </xf>
    <xf numFmtId="0" fontId="68" fillId="0" borderId="111" xfId="0" applyFont="1" applyBorder="1" applyAlignment="1">
      <alignment horizontal="center" vertical="center"/>
    </xf>
    <xf numFmtId="0" fontId="17" fillId="0" borderId="112" xfId="0" applyFont="1" applyBorder="1" applyAlignment="1">
      <alignment horizontal="center" vertical="center" wrapText="1"/>
    </xf>
    <xf numFmtId="0" fontId="17" fillId="0" borderId="111" xfId="0" applyFont="1" applyBorder="1" applyAlignment="1">
      <alignment horizontal="center" vertical="center" wrapText="1"/>
    </xf>
    <xf numFmtId="0" fontId="17" fillId="0" borderId="135" xfId="0" applyFont="1" applyBorder="1" applyAlignment="1">
      <alignment horizontal="center" vertical="center" wrapText="1"/>
    </xf>
    <xf numFmtId="0" fontId="17" fillId="0" borderId="136" xfId="0" applyFont="1" applyBorder="1" applyAlignment="1">
      <alignment horizontal="center" vertical="center" wrapText="1"/>
    </xf>
    <xf numFmtId="0" fontId="92" fillId="16" borderId="115" xfId="0" applyFont="1" applyFill="1" applyBorder="1" applyAlignment="1">
      <alignment horizontal="center"/>
    </xf>
    <xf numFmtId="0" fontId="92" fillId="16" borderId="116" xfId="0" applyFont="1" applyFill="1" applyBorder="1" applyAlignment="1">
      <alignment horizontal="center"/>
    </xf>
    <xf numFmtId="0" fontId="92" fillId="16" borderId="117" xfId="0" applyFont="1" applyFill="1" applyBorder="1" applyAlignment="1">
      <alignment horizontal="center" wrapText="1"/>
    </xf>
    <xf numFmtId="0" fontId="92" fillId="16" borderId="116" xfId="0" applyFont="1" applyFill="1" applyBorder="1" applyAlignment="1">
      <alignment horizontal="center" wrapText="1"/>
    </xf>
    <xf numFmtId="0" fontId="92" fillId="16" borderId="6" xfId="0" applyFont="1" applyFill="1" applyBorder="1" applyAlignment="1">
      <alignment horizontal="center" wrapText="1"/>
    </xf>
    <xf numFmtId="0" fontId="84" fillId="0" borderId="120" xfId="0" applyFont="1" applyBorder="1" applyAlignment="1">
      <alignment horizontal="left"/>
    </xf>
    <xf numFmtId="0" fontId="84" fillId="0" borderId="121" xfId="0" applyFont="1" applyBorder="1" applyAlignment="1">
      <alignment horizontal="left"/>
    </xf>
    <xf numFmtId="164" fontId="84" fillId="0" borderId="122" xfId="2" applyNumberFormat="1" applyFont="1" applyBorder="1" applyAlignment="1" applyProtection="1">
      <alignment horizontal="center"/>
      <protection locked="0"/>
    </xf>
    <xf numFmtId="164" fontId="84" fillId="0" borderId="121" xfId="2" applyNumberFormat="1" applyFont="1" applyBorder="1" applyAlignment="1" applyProtection="1">
      <alignment horizontal="center"/>
      <protection locked="0"/>
    </xf>
    <xf numFmtId="43" fontId="17" fillId="7" borderId="75" xfId="2" applyFont="1" applyFill="1" applyBorder="1" applyAlignment="1" applyProtection="1">
      <alignment horizontal="center"/>
    </xf>
    <xf numFmtId="0" fontId="84" fillId="0" borderId="129" xfId="0" applyFont="1" applyBorder="1" applyAlignment="1">
      <alignment horizontal="left"/>
    </xf>
    <xf numFmtId="0" fontId="84" fillId="0" borderId="130" xfId="0" applyFont="1" applyBorder="1" applyAlignment="1">
      <alignment horizontal="left"/>
    </xf>
    <xf numFmtId="164" fontId="84" fillId="0" borderId="131" xfId="2" applyNumberFormat="1" applyFont="1" applyBorder="1" applyAlignment="1" applyProtection="1">
      <alignment horizontal="center"/>
      <protection locked="0"/>
    </xf>
    <xf numFmtId="164" fontId="84" fillId="0" borderId="130" xfId="2" applyNumberFormat="1" applyFont="1" applyBorder="1" applyAlignment="1" applyProtection="1">
      <alignment horizontal="center"/>
      <protection locked="0"/>
    </xf>
  </cellXfs>
  <cellStyles count="4">
    <cellStyle name="Comma" xfId="2" builtinId="3"/>
    <cellStyle name="Hyperlink" xfId="1" builtinId="8"/>
    <cellStyle name="Normal" xfId="0" builtinId="0"/>
    <cellStyle name="Normal_Form E-TAX" xfId="3" xr:uid="{5D87BE3F-2532-40F2-A019-51953739AD36}"/>
  </cellStyles>
  <dxfs count="100">
    <dxf>
      <font>
        <color theme="0"/>
      </font>
      <fill>
        <patternFill>
          <bgColor theme="0"/>
        </patternFill>
      </fill>
      <border>
        <left/>
        <right/>
        <top/>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fgColor rgb="FFFFFF00"/>
          <bgColor rgb="FFFFFF00"/>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color auto="1"/>
      </font>
      <fill>
        <patternFill>
          <bgColor theme="8" tint="0.79998168889431442"/>
        </patternFill>
      </fill>
    </dxf>
    <dxf>
      <font>
        <b/>
        <i val="0"/>
        <color rgb="FFFF0000"/>
      </font>
      <fill>
        <patternFill>
          <bgColor rgb="FFFFFF00"/>
        </patternFill>
      </fill>
    </dxf>
    <dxf>
      <font>
        <color rgb="FFFF0000"/>
      </font>
    </dxf>
    <dxf>
      <font>
        <b/>
        <i val="0"/>
        <color rgb="FFFF0000"/>
      </font>
      <fill>
        <patternFill>
          <bgColor rgb="FFFFFF00"/>
        </patternFill>
      </fill>
    </dxf>
    <dxf>
      <font>
        <b/>
        <i val="0"/>
        <color rgb="FFFF0000"/>
      </font>
      <fill>
        <patternFill>
          <bgColor rgb="FFFFFF00"/>
        </patternFill>
      </fill>
    </dxf>
    <dxf>
      <font>
        <color auto="1"/>
      </font>
      <fill>
        <patternFill>
          <bgColor theme="8" tint="0.79998168889431442"/>
        </patternFill>
      </fill>
    </dxf>
    <dxf>
      <font>
        <color rgb="FFFF0000"/>
      </font>
    </dxf>
    <dxf>
      <font>
        <b/>
        <i val="0"/>
        <color rgb="FFFF0000"/>
      </font>
      <fill>
        <patternFill>
          <bgColor rgb="FFFFFF00"/>
        </patternFill>
      </fill>
    </dxf>
    <dxf>
      <font>
        <b/>
        <i val="0"/>
        <color rgb="FFFF0000"/>
      </font>
      <fill>
        <patternFill>
          <bgColor rgb="FFFFFF00"/>
        </patternFill>
      </fill>
    </dxf>
    <dxf>
      <font>
        <color auto="1"/>
      </font>
      <fill>
        <patternFill>
          <bgColor theme="8" tint="0.79998168889431442"/>
        </patternFill>
      </fill>
    </dxf>
    <dxf>
      <font>
        <color rgb="FFFF0000"/>
      </font>
    </dxf>
    <dxf>
      <font>
        <b/>
        <i val="0"/>
        <color rgb="FFFF0000"/>
      </font>
    </dxf>
    <dxf>
      <font>
        <color auto="1"/>
      </font>
      <fill>
        <patternFill>
          <bgColor theme="8" tint="0.79998168889431442"/>
        </patternFill>
      </fill>
    </dxf>
    <dxf>
      <font>
        <b/>
        <i val="0"/>
        <color rgb="FFFF0000"/>
      </font>
      <fill>
        <patternFill>
          <bgColor rgb="FFFFFF00"/>
        </patternFill>
      </fill>
    </dxf>
    <dxf>
      <font>
        <b/>
        <i val="0"/>
        <color rgb="FFFF0000"/>
      </font>
      <fill>
        <patternFill>
          <bgColor rgb="FFFFFF00"/>
        </patternFill>
      </fill>
    </dxf>
    <dxf>
      <font>
        <color rgb="FFFF0000"/>
      </font>
    </dxf>
    <dxf>
      <font>
        <b/>
        <i val="0"/>
        <color rgb="FFFF0000"/>
      </font>
      <fill>
        <patternFill>
          <bgColor rgb="FFFFFF00"/>
        </patternFill>
      </fill>
    </dxf>
    <dxf>
      <font>
        <color auto="1"/>
      </font>
      <fill>
        <patternFill>
          <bgColor theme="8" tint="0.79998168889431442"/>
        </patternFill>
      </fill>
    </dxf>
    <dxf>
      <font>
        <b/>
        <i val="0"/>
        <color rgb="FFFF0000"/>
      </font>
      <fill>
        <patternFill>
          <bgColor rgb="FFFFFF00"/>
        </patternFill>
      </fill>
    </dxf>
    <dxf>
      <font>
        <b/>
        <i val="0"/>
        <color rgb="FFFF0000"/>
      </font>
    </dxf>
    <dxf>
      <font>
        <b/>
        <i val="0"/>
        <color rgb="FFFF0000"/>
      </font>
      <fill>
        <patternFill>
          <bgColor rgb="FFFFFF00"/>
        </patternFill>
      </fill>
    </dxf>
    <dxf>
      <font>
        <b/>
        <i val="0"/>
        <color rgb="FFFF0000"/>
      </font>
      <fill>
        <patternFill>
          <bgColor rgb="FFFFFF00"/>
        </patternFill>
      </fill>
    </dxf>
    <dxf>
      <font>
        <color auto="1"/>
      </font>
      <fill>
        <patternFill>
          <bgColor theme="8" tint="0.79998168889431442"/>
        </patternFill>
      </fill>
    </dxf>
    <dxf>
      <font>
        <color rgb="FFFF0000"/>
      </font>
    </dxf>
    <dxf>
      <font>
        <color auto="1"/>
      </font>
      <fill>
        <patternFill>
          <bgColor theme="8" tint="0.79998168889431442"/>
        </patternFill>
      </fill>
    </dxf>
    <dxf>
      <font>
        <b/>
        <i val="0"/>
        <color rgb="FFFF0000"/>
      </font>
      <fill>
        <patternFill>
          <bgColor rgb="FFFFFF00"/>
        </patternFill>
      </fill>
    </dxf>
    <dxf>
      <font>
        <b/>
        <i val="0"/>
        <color rgb="FFFF0000"/>
      </font>
      <fill>
        <patternFill>
          <bgColor rgb="FFFFFF00"/>
        </patternFill>
      </fill>
    </dxf>
    <dxf>
      <font>
        <color rgb="FFFF0000"/>
      </font>
    </dxf>
    <dxf>
      <font>
        <b/>
        <i val="0"/>
        <color rgb="FFFF0000"/>
      </font>
      <fill>
        <patternFill>
          <bgColor rgb="FFFFFF00"/>
        </patternFill>
      </fill>
    </dxf>
    <dxf>
      <font>
        <b/>
        <i val="0"/>
        <color rgb="FFFF0000"/>
      </font>
      <fill>
        <patternFill>
          <bgColor rgb="FFFFFF00"/>
        </patternFill>
      </fill>
    </dxf>
    <dxf>
      <font>
        <color auto="1"/>
      </font>
      <fill>
        <patternFill>
          <bgColor theme="8" tint="0.79998168889431442"/>
        </patternFill>
      </fill>
    </dxf>
    <dxf>
      <font>
        <color rgb="FFFF0000"/>
      </font>
    </dxf>
    <dxf>
      <font>
        <b/>
        <i val="0"/>
        <color rgb="FFFF0000"/>
      </font>
      <fill>
        <patternFill>
          <bgColor rgb="FFFFFF00"/>
        </patternFill>
      </fill>
    </dxf>
    <dxf>
      <font>
        <b/>
        <i val="0"/>
        <color rgb="FFFF0000"/>
      </font>
      <fill>
        <patternFill>
          <bgColor rgb="FFFFFF00"/>
        </patternFill>
      </fill>
    </dxf>
    <dxf>
      <font>
        <color auto="1"/>
      </font>
      <fill>
        <patternFill>
          <bgColor theme="8" tint="0.79998168889431442"/>
        </patternFill>
      </fill>
    </dxf>
    <dxf>
      <font>
        <b/>
        <i val="0"/>
        <color rgb="FFFF0000"/>
      </font>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rgb="FFFFFF00"/>
        </patternFill>
      </fill>
    </dxf>
    <dxf>
      <font>
        <b/>
        <i val="0"/>
        <color rgb="FFFF0000"/>
      </font>
      <fill>
        <patternFill>
          <bgColor theme="5"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val="0"/>
        <i val="0"/>
        <strike val="0"/>
        <color theme="1"/>
      </font>
      <fill>
        <patternFill>
          <bgColor theme="0" tint="-0.14996795556505021"/>
        </patternFill>
      </fill>
    </dxf>
    <dxf>
      <font>
        <b val="0"/>
        <i val="0"/>
        <strike val="0"/>
        <color theme="1"/>
      </font>
      <fill>
        <patternFill>
          <bgColor theme="0" tint="-0.14996795556505021"/>
        </patternFill>
      </fill>
    </dxf>
    <dxf>
      <font>
        <b val="0"/>
        <i val="0"/>
        <strike val="0"/>
        <color theme="1"/>
      </font>
      <fill>
        <patternFill>
          <bgColor theme="0" tint="-0.14996795556505021"/>
        </patternFill>
      </fill>
    </dxf>
    <dxf>
      <font>
        <b val="0"/>
        <i val="0"/>
        <color theme="1"/>
      </font>
      <fill>
        <patternFill>
          <bgColor theme="0" tint="-0.14996795556505021"/>
        </patternFill>
      </fill>
    </dxf>
    <dxf>
      <font>
        <b val="0"/>
        <i val="0"/>
        <strike val="0"/>
        <color theme="1"/>
      </font>
      <fill>
        <patternFill>
          <bgColor theme="0" tint="-0.14996795556505021"/>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color theme="1"/>
      </font>
      <numFmt numFmtId="0" formatCode="General"/>
      <fill>
        <patternFill>
          <fgColor auto="1"/>
          <bgColor theme="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2" tint="-0.24994659260841701"/>
      </font>
      <fill>
        <patternFill>
          <bgColor theme="2" tint="-0.24994659260841701"/>
        </patternFill>
      </fill>
    </dxf>
    <dxf>
      <font>
        <b/>
        <i val="0"/>
        <color rgb="FFFF0000"/>
      </font>
      <fill>
        <patternFill>
          <bgColor rgb="FFFFFF00"/>
        </patternFill>
      </fill>
    </dxf>
    <dxf>
      <font>
        <b/>
        <i val="0"/>
        <color rgb="FFFF0000"/>
      </font>
      <fill>
        <patternFill>
          <bgColor rgb="FFFFFF00"/>
        </patternFill>
      </fill>
    </dxf>
    <dxf>
      <font>
        <color theme="0"/>
      </font>
    </dxf>
    <dxf>
      <font>
        <b/>
        <i val="0"/>
        <color rgb="FFFF0000"/>
      </font>
      <fill>
        <patternFill>
          <bgColor rgb="FFFFFF00"/>
        </patternFill>
      </fill>
    </dxf>
    <dxf>
      <font>
        <color rgb="FFFF0000"/>
      </font>
      <fill>
        <patternFill>
          <bgColor rgb="FFFFFF00"/>
        </patternFill>
      </fill>
      <border>
        <left style="thin">
          <color rgb="FFFF0000"/>
        </left>
        <right style="thin">
          <color rgb="FFFF0000"/>
        </right>
        <top style="thin">
          <color rgb="FFFF0000"/>
        </top>
        <bottom style="thin">
          <color rgb="FFFF0000"/>
        </bottom>
      </border>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auto="1"/>
      </font>
      <fill>
        <patternFill>
          <bgColor theme="1"/>
        </patternFill>
      </fill>
      <border>
        <left/>
        <right/>
        <top/>
        <bottom/>
      </border>
    </dxf>
    <dxf>
      <font>
        <b/>
        <i val="0"/>
        <color rgb="FFFF0000"/>
      </font>
      <fill>
        <patternFill>
          <bgColor rgb="FFFFFF00"/>
        </patternFill>
      </fill>
    </dxf>
    <dxf>
      <font>
        <b/>
        <i val="0"/>
        <color auto="1"/>
      </font>
      <fill>
        <patternFill>
          <bgColor theme="0"/>
        </patternFill>
      </fill>
    </dxf>
    <dxf>
      <font>
        <color theme="1"/>
      </font>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tint="-0.499984740745262"/>
      </font>
    </dxf>
    <dxf>
      <font>
        <b/>
        <i val="0"/>
        <color rgb="FFFF0000"/>
      </font>
      <fill>
        <patternFill>
          <bgColor rgb="FFFFFF00"/>
        </patternFill>
      </fill>
    </dxf>
  </dxfs>
  <tableStyles count="0" defaultTableStyle="TableStyleMedium2" defaultPivotStyle="PivotStyleLight16"/>
  <colors>
    <mruColors>
      <color rgb="FFB70909"/>
      <color rgb="FF1D1D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14112</xdr:rowOff>
    </xdr:from>
    <xdr:to>
      <xdr:col>2</xdr:col>
      <xdr:colOff>294878</xdr:colOff>
      <xdr:row>6</xdr:row>
      <xdr:rowOff>179787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4112"/>
          <a:ext cx="1254434" cy="12695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161926</xdr:rowOff>
    </xdr:from>
    <xdr:to>
      <xdr:col>1</xdr:col>
      <xdr:colOff>200025</xdr:colOff>
      <xdr:row>3</xdr:row>
      <xdr:rowOff>163901</xdr:rowOff>
    </xdr:to>
    <xdr:pic>
      <xdr:nvPicPr>
        <xdr:cNvPr id="2" name="Picture 1">
          <a:extLst>
            <a:ext uri="{FF2B5EF4-FFF2-40B4-BE49-F238E27FC236}">
              <a16:creationId xmlns:a16="http://schemas.microsoft.com/office/drawing/2014/main" id="{CD6D89EA-BC53-4297-A927-3FD125113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1926"/>
          <a:ext cx="615950" cy="627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axunit@difi.az.gov" TargetMode="External"/><Relationship Id="rId1" Type="http://schemas.openxmlformats.org/officeDocument/2006/relationships/hyperlink" Target="https://difi.az.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taxunit@difi.az.gov" TargetMode="External"/><Relationship Id="rId1" Type="http://schemas.openxmlformats.org/officeDocument/2006/relationships/hyperlink" Target="https://difi.az.gov/"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D289"/>
  <sheetViews>
    <sheetView showGridLines="0" tabSelected="1" zoomScale="90" zoomScaleNormal="90" zoomScalePageLayoutView="130" workbookViewId="0">
      <selection activeCell="M32" sqref="M32"/>
    </sheetView>
  </sheetViews>
  <sheetFormatPr defaultColWidth="9" defaultRowHeight="15.5"/>
  <cols>
    <col min="1" max="1" width="6.58203125" style="20" customWidth="1"/>
    <col min="2" max="2" width="6" style="20" customWidth="1"/>
    <col min="3" max="3" width="5.83203125" style="20" customWidth="1"/>
    <col min="4" max="4" width="21.83203125" style="20" customWidth="1"/>
    <col min="5" max="5" width="14.83203125" style="20" customWidth="1"/>
    <col min="6" max="6" width="12.83203125" style="20" customWidth="1"/>
    <col min="7" max="7" width="10.83203125" style="22" customWidth="1"/>
    <col min="8" max="8" width="5.1640625" style="20" customWidth="1"/>
    <col min="9" max="9" width="6.6640625" style="20" customWidth="1"/>
    <col min="10" max="10" width="10.9140625" style="20" customWidth="1"/>
    <col min="11" max="11" width="11.4140625" style="20" customWidth="1"/>
    <col min="12" max="12" width="9" style="20" hidden="1" customWidth="1"/>
    <col min="13" max="13" width="14.5" style="20" customWidth="1"/>
    <col min="14" max="29" width="9" style="20" customWidth="1"/>
    <col min="30" max="30" width="12.6640625" style="20" bestFit="1" customWidth="1"/>
    <col min="31" max="31" width="9" style="20" customWidth="1"/>
    <col min="32" max="16384" width="9" style="20"/>
  </cols>
  <sheetData>
    <row r="1" spans="1:18" ht="18">
      <c r="D1" s="21" t="s">
        <v>297</v>
      </c>
      <c r="K1" s="23" t="s">
        <v>0</v>
      </c>
      <c r="L1" s="24" t="s">
        <v>285</v>
      </c>
      <c r="R1" s="25" t="s">
        <v>305</v>
      </c>
    </row>
    <row r="2" spans="1:18" ht="13.5" customHeight="1">
      <c r="D2" s="26" t="s">
        <v>295</v>
      </c>
      <c r="E2" s="27"/>
      <c r="F2" s="28"/>
      <c r="K2" s="29" t="s">
        <v>1</v>
      </c>
      <c r="R2" s="25" t="s">
        <v>306</v>
      </c>
    </row>
    <row r="3" spans="1:18" ht="13.5" customHeight="1" thickBot="1">
      <c r="D3" s="30" t="s">
        <v>296</v>
      </c>
      <c r="E3" s="31"/>
      <c r="F3" s="32"/>
      <c r="J3" s="33" t="s">
        <v>2</v>
      </c>
      <c r="K3" s="34">
        <v>2024</v>
      </c>
    </row>
    <row r="4" spans="1:18" ht="13.5" customHeight="1">
      <c r="D4" s="35" t="s">
        <v>529</v>
      </c>
      <c r="F4" s="22"/>
      <c r="K4" s="36"/>
    </row>
    <row r="5" spans="1:18" ht="14" customHeight="1">
      <c r="D5" s="35" t="s">
        <v>530</v>
      </c>
      <c r="H5" s="406"/>
      <c r="I5" s="406"/>
      <c r="J5" s="407"/>
      <c r="K5" s="407"/>
    </row>
    <row r="6" spans="1:18" ht="15" customHeight="1">
      <c r="D6" s="38" t="s">
        <v>531</v>
      </c>
      <c r="F6" s="315" t="s">
        <v>405</v>
      </c>
      <c r="G6" s="315"/>
      <c r="H6" s="316" t="s">
        <v>306</v>
      </c>
      <c r="I6" s="316"/>
    </row>
    <row r="7" spans="1:18">
      <c r="H7" s="39"/>
      <c r="I7" s="406"/>
      <c r="J7" s="407"/>
      <c r="K7" s="407"/>
    </row>
    <row r="8" spans="1:18" ht="21.5" customHeight="1">
      <c r="A8" s="40" t="s">
        <v>3</v>
      </c>
      <c r="B8" s="41"/>
      <c r="C8" s="41"/>
      <c r="D8" s="41"/>
      <c r="E8" s="41"/>
      <c r="F8" s="41"/>
      <c r="G8" s="42"/>
      <c r="H8" s="41"/>
      <c r="I8" s="41"/>
      <c r="J8" s="41"/>
      <c r="K8" s="41"/>
    </row>
    <row r="9" spans="1:18" ht="15.75" customHeight="1">
      <c r="A9" s="331" t="s">
        <v>288</v>
      </c>
      <c r="B9" s="331"/>
      <c r="C9" s="331"/>
      <c r="D9" s="331"/>
      <c r="E9" s="331"/>
      <c r="F9" s="331"/>
      <c r="G9" s="331"/>
      <c r="H9" s="331"/>
      <c r="I9" s="331"/>
      <c r="J9" s="331"/>
      <c r="K9" s="331"/>
    </row>
    <row r="10" spans="1:18" ht="2.25" customHeight="1">
      <c r="A10" s="43"/>
    </row>
    <row r="11" spans="1:18">
      <c r="A11" s="327" t="s">
        <v>4</v>
      </c>
      <c r="B11" s="411"/>
      <c r="C11" s="327" t="s">
        <v>5</v>
      </c>
      <c r="D11" s="414"/>
      <c r="E11" s="414"/>
      <c r="F11" s="415"/>
      <c r="G11" s="324" t="s">
        <v>6</v>
      </c>
      <c r="H11" s="325"/>
      <c r="I11" s="326"/>
      <c r="J11" s="327" t="s">
        <v>7</v>
      </c>
      <c r="K11" s="328"/>
      <c r="M11" s="45" t="s">
        <v>291</v>
      </c>
      <c r="N11" s="37" t="e">
        <f>+VLOOKUP(_BusType,T209:W215,2,FALSE)</f>
        <v>#N/A</v>
      </c>
    </row>
    <row r="12" spans="1:18" ht="30" customHeight="1">
      <c r="A12" s="412"/>
      <c r="B12" s="413"/>
      <c r="C12" s="416"/>
      <c r="D12" s="417"/>
      <c r="E12" s="417"/>
      <c r="F12" s="418"/>
      <c r="G12" s="424"/>
      <c r="H12" s="437"/>
      <c r="I12" s="418"/>
      <c r="J12" s="424"/>
      <c r="K12" s="413"/>
      <c r="M12" s="45" t="s">
        <v>292</v>
      </c>
      <c r="N12" s="37" t="e">
        <f>+VLOOKUP(_EntType,X222:Y235,2,FALSE)</f>
        <v>#N/A</v>
      </c>
    </row>
    <row r="13" spans="1:18">
      <c r="A13" s="322" t="s">
        <v>8</v>
      </c>
      <c r="B13" s="323"/>
      <c r="C13" s="319" t="s">
        <v>9</v>
      </c>
      <c r="D13" s="320"/>
      <c r="E13" s="320"/>
      <c r="F13" s="321"/>
      <c r="G13" s="433" t="s">
        <v>10</v>
      </c>
      <c r="H13" s="434"/>
      <c r="I13" s="46" t="s">
        <v>11</v>
      </c>
      <c r="J13" s="317" t="s">
        <v>12</v>
      </c>
      <c r="K13" s="318"/>
    </row>
    <row r="14" spans="1:18" ht="22.5" customHeight="1">
      <c r="A14" s="425" t="s">
        <v>150</v>
      </c>
      <c r="B14" s="426"/>
      <c r="C14" s="427"/>
      <c r="D14" s="428"/>
      <c r="E14" s="428"/>
      <c r="F14" s="429"/>
      <c r="G14" s="427"/>
      <c r="H14" s="429"/>
      <c r="I14" s="47"/>
      <c r="J14" s="430"/>
      <c r="K14" s="429"/>
    </row>
    <row r="15" spans="1:18" ht="24.5" customHeight="1">
      <c r="A15" s="334" t="str">
        <f>IF(_BusType = "RG","Skip to tab FormE-LRTF","")</f>
        <v/>
      </c>
      <c r="B15" s="334"/>
      <c r="C15" s="334"/>
      <c r="D15" s="334"/>
      <c r="E15" s="334"/>
      <c r="F15" s="334"/>
      <c r="G15" s="334"/>
      <c r="H15" s="334"/>
      <c r="I15" s="334"/>
      <c r="J15" s="334"/>
      <c r="K15" s="334"/>
      <c r="L15" s="334"/>
      <c r="M15" s="334"/>
    </row>
    <row r="16" spans="1:18" ht="28.5" customHeight="1">
      <c r="A16" s="40" t="s">
        <v>401</v>
      </c>
      <c r="B16" s="48"/>
      <c r="C16" s="48"/>
      <c r="D16" s="48"/>
      <c r="E16" s="48"/>
      <c r="F16" s="48"/>
      <c r="G16" s="49"/>
      <c r="J16" s="50"/>
    </row>
    <row r="17" spans="1:13" ht="15" customHeight="1">
      <c r="A17" s="51" t="s">
        <v>17</v>
      </c>
      <c r="B17" s="52" t="s">
        <v>553</v>
      </c>
      <c r="C17" s="51"/>
      <c r="D17" s="51"/>
      <c r="E17" s="51"/>
      <c r="F17" s="51"/>
      <c r="G17" s="53"/>
      <c r="H17" s="54" t="str">
        <f t="shared" ref="H17:H31" si="0">+A17</f>
        <v xml:space="preserve">    1</v>
      </c>
      <c r="I17" s="350">
        <f>+I129+I125+I115+I113</f>
        <v>0</v>
      </c>
      <c r="J17" s="351"/>
      <c r="K17" s="55"/>
      <c r="L17" s="56" t="s">
        <v>18</v>
      </c>
    </row>
    <row r="18" spans="1:13" ht="15" customHeight="1">
      <c r="A18" s="57" t="s">
        <v>19</v>
      </c>
      <c r="B18" s="58" t="s">
        <v>564</v>
      </c>
      <c r="C18" s="59"/>
      <c r="D18" s="59"/>
      <c r="E18" s="59"/>
      <c r="F18" s="59"/>
      <c r="G18" s="60"/>
      <c r="H18" s="61" t="str">
        <f t="shared" si="0"/>
        <v xml:space="preserve">    2</v>
      </c>
      <c r="I18" s="349">
        <f>'FormE-TC'!H23</f>
        <v>0</v>
      </c>
      <c r="J18" s="349"/>
      <c r="K18" s="55"/>
      <c r="L18" s="56" t="s">
        <v>20</v>
      </c>
    </row>
    <row r="19" spans="1:13" ht="15" customHeight="1">
      <c r="A19" s="59" t="s">
        <v>21</v>
      </c>
      <c r="B19" s="62" t="s">
        <v>532</v>
      </c>
      <c r="C19" s="59"/>
      <c r="D19" s="59"/>
      <c r="E19" s="59"/>
      <c r="F19" s="59"/>
      <c r="G19" s="60"/>
      <c r="H19" s="54" t="str">
        <f t="shared" si="0"/>
        <v xml:space="preserve">    3</v>
      </c>
      <c r="I19" s="350">
        <f>+_GT-_TC</f>
        <v>0</v>
      </c>
      <c r="J19" s="351"/>
      <c r="K19" s="55"/>
      <c r="L19" s="56" t="s">
        <v>22</v>
      </c>
    </row>
    <row r="20" spans="1:13" ht="15" customHeight="1">
      <c r="A20" s="57" t="s">
        <v>23</v>
      </c>
      <c r="B20" s="58" t="str">
        <f>IF(_Domicile="AZ","Leave this blank; skip to Line 5","Retaliation (from Form E-RT, line 6 - foreign/alien insurers only)")</f>
        <v>Leave this blank; skip to Line 5</v>
      </c>
      <c r="C20" s="57"/>
      <c r="D20" s="59"/>
      <c r="E20" s="59"/>
      <c r="F20" s="59"/>
      <c r="G20" s="60"/>
      <c r="H20" s="61" t="str">
        <f t="shared" si="0"/>
        <v xml:space="preserve">    4</v>
      </c>
      <c r="I20" s="349">
        <v>0</v>
      </c>
      <c r="J20" s="349"/>
      <c r="K20" s="55"/>
      <c r="L20" s="56" t="s">
        <v>24</v>
      </c>
      <c r="M20" s="24">
        <f>+_RT</f>
        <v>0</v>
      </c>
    </row>
    <row r="21" spans="1:13" ht="15" customHeight="1">
      <c r="A21" s="57" t="s">
        <v>25</v>
      </c>
      <c r="B21" s="58" t="s">
        <v>289</v>
      </c>
      <c r="C21" s="57"/>
      <c r="D21" s="59"/>
      <c r="E21" s="59"/>
      <c r="F21" s="59"/>
      <c r="G21" s="60"/>
      <c r="H21" s="61" t="str">
        <f t="shared" si="0"/>
        <v xml:space="preserve">    5</v>
      </c>
      <c r="I21" s="357"/>
      <c r="J21" s="357"/>
      <c r="K21" s="55"/>
      <c r="L21" s="56" t="e">
        <f>"   "&amp;TEXT(+VLOOKUP($G$12,$T$210:$W$215,3),"00")</f>
        <v>#N/A</v>
      </c>
    </row>
    <row r="22" spans="1:13" ht="15" customHeight="1">
      <c r="A22" s="57" t="s">
        <v>26</v>
      </c>
      <c r="B22" s="58" t="s">
        <v>290</v>
      </c>
      <c r="C22" s="57"/>
      <c r="D22" s="59"/>
      <c r="E22" s="59"/>
      <c r="F22" s="59"/>
      <c r="G22" s="60"/>
      <c r="H22" s="61" t="str">
        <f t="shared" si="0"/>
        <v xml:space="preserve">    6</v>
      </c>
      <c r="I22" s="357"/>
      <c r="J22" s="357"/>
      <c r="K22" s="55"/>
      <c r="L22" s="56" t="e">
        <f>"   "&amp;TEXT(+VLOOKUP($G$12,$T$210:$W$215,4),"00")</f>
        <v>#N/A</v>
      </c>
    </row>
    <row r="23" spans="1:13" ht="15" customHeight="1">
      <c r="A23" s="59" t="s">
        <v>27</v>
      </c>
      <c r="B23" s="62" t="s">
        <v>533</v>
      </c>
      <c r="C23" s="59"/>
      <c r="D23" s="59"/>
      <c r="E23" s="59"/>
      <c r="F23" s="59"/>
      <c r="G23" s="60"/>
      <c r="H23" s="54" t="str">
        <f t="shared" si="0"/>
        <v xml:space="preserve">    7</v>
      </c>
      <c r="I23" s="350">
        <f>+SUM(I19:J22)-IF(_Domicile="AZ",_RT,0)</f>
        <v>0</v>
      </c>
      <c r="J23" s="351"/>
      <c r="K23" s="55"/>
      <c r="L23" s="56"/>
    </row>
    <row r="24" spans="1:13">
      <c r="A24" s="63" t="s">
        <v>28</v>
      </c>
      <c r="B24" s="332" t="str">
        <f>"Installments paid in "&amp;TEXT(K3,"0000")&amp;" excluding late-payment penalties. Do not include prior tax payments."</f>
        <v>Installments paid in 2024 excluding late-payment penalties. Do not include prior tax payments.</v>
      </c>
      <c r="C24" s="332"/>
      <c r="D24" s="332"/>
      <c r="E24" s="332"/>
      <c r="F24" s="332"/>
      <c r="G24" s="333"/>
      <c r="H24" s="64" t="str">
        <f t="shared" si="0"/>
        <v xml:space="preserve">    8</v>
      </c>
      <c r="I24" s="349">
        <f>SUM(I25:J30)</f>
        <v>0</v>
      </c>
      <c r="J24" s="349"/>
      <c r="K24" s="65"/>
      <c r="L24" s="66" t="s">
        <v>29</v>
      </c>
      <c r="M24" s="24">
        <f>-_TIP</f>
        <v>0</v>
      </c>
    </row>
    <row r="25" spans="1:13">
      <c r="A25" s="329" t="s">
        <v>298</v>
      </c>
      <c r="B25" s="329"/>
      <c r="C25" s="329"/>
      <c r="D25" s="329"/>
      <c r="E25" s="329"/>
      <c r="F25" s="329"/>
      <c r="G25" s="329"/>
      <c r="H25" s="330"/>
      <c r="I25" s="360"/>
      <c r="J25" s="360"/>
      <c r="K25" s="455"/>
      <c r="L25" s="314"/>
      <c r="M25" s="24"/>
    </row>
    <row r="26" spans="1:13">
      <c r="A26" s="329" t="s">
        <v>299</v>
      </c>
      <c r="B26" s="329"/>
      <c r="C26" s="329"/>
      <c r="D26" s="329"/>
      <c r="E26" s="329"/>
      <c r="F26" s="329"/>
      <c r="G26" s="329"/>
      <c r="H26" s="330"/>
      <c r="I26" s="360"/>
      <c r="J26" s="360"/>
      <c r="K26" s="455"/>
      <c r="L26" s="314"/>
      <c r="M26" s="24"/>
    </row>
    <row r="27" spans="1:13">
      <c r="A27" s="329" t="s">
        <v>300</v>
      </c>
      <c r="B27" s="329"/>
      <c r="C27" s="329"/>
      <c r="D27" s="329"/>
      <c r="E27" s="329"/>
      <c r="F27" s="329"/>
      <c r="G27" s="329"/>
      <c r="H27" s="330"/>
      <c r="I27" s="360"/>
      <c r="J27" s="360"/>
      <c r="K27" s="455"/>
      <c r="L27" s="314"/>
      <c r="M27" s="24"/>
    </row>
    <row r="28" spans="1:13">
      <c r="A28" s="329" t="s">
        <v>301</v>
      </c>
      <c r="B28" s="329"/>
      <c r="C28" s="329"/>
      <c r="D28" s="329"/>
      <c r="E28" s="329"/>
      <c r="F28" s="329"/>
      <c r="G28" s="329"/>
      <c r="H28" s="330"/>
      <c r="I28" s="360"/>
      <c r="J28" s="360"/>
      <c r="K28" s="455"/>
      <c r="L28" s="314"/>
      <c r="M28" s="24"/>
    </row>
    <row r="29" spans="1:13">
      <c r="A29" s="329" t="s">
        <v>302</v>
      </c>
      <c r="B29" s="329"/>
      <c r="C29" s="329"/>
      <c r="D29" s="329"/>
      <c r="E29" s="329"/>
      <c r="F29" s="329"/>
      <c r="G29" s="329"/>
      <c r="H29" s="330"/>
      <c r="I29" s="360"/>
      <c r="J29" s="360"/>
      <c r="K29" s="455"/>
      <c r="L29" s="314"/>
      <c r="M29" s="24"/>
    </row>
    <row r="30" spans="1:13">
      <c r="A30" s="329" t="s">
        <v>303</v>
      </c>
      <c r="B30" s="329"/>
      <c r="C30" s="329"/>
      <c r="D30" s="329"/>
      <c r="E30" s="329"/>
      <c r="F30" s="329"/>
      <c r="G30" s="329"/>
      <c r="H30" s="330"/>
      <c r="I30" s="360"/>
      <c r="J30" s="360"/>
      <c r="K30" s="455"/>
      <c r="L30" s="314"/>
      <c r="M30" s="24"/>
    </row>
    <row r="31" spans="1:13" ht="33.75" customHeight="1" thickBot="1">
      <c r="A31" s="67" t="s">
        <v>30</v>
      </c>
      <c r="B31" s="348" t="str">
        <f>+IF(I24+J24&gt;I23+J23,"CALCULATED REFUND","Amount You Owe with this Report")&amp;" (line 7 minus line 8). "&amp;+IF(I24+J24&gt;I23+J23,"We will verify the amount we owe you and will issue a refund for that amount. ","Make sure your OPTins payment exactly matches the amount on this line.")</f>
        <v>Amount You Owe with this Report (line 7 minus line 8). Make sure your OPTins payment exactly matches the amount on this line.</v>
      </c>
      <c r="C31" s="348"/>
      <c r="D31" s="348"/>
      <c r="E31" s="348"/>
      <c r="F31" s="348"/>
      <c r="G31" s="348"/>
      <c r="H31" s="68" t="str">
        <f t="shared" si="0"/>
        <v xml:space="preserve">    9</v>
      </c>
      <c r="I31" s="361">
        <f>ROUND(+I23-_TIP,2)</f>
        <v>0</v>
      </c>
      <c r="J31" s="362"/>
      <c r="K31" s="69"/>
      <c r="L31" s="70" t="str">
        <f>+IF(J24&gt;J23,"RP:99","PMT:69")</f>
        <v>PMT:69</v>
      </c>
      <c r="M31" s="24">
        <f>+_PMT_69</f>
        <v>0</v>
      </c>
    </row>
    <row r="32" spans="1:13" ht="6" customHeight="1" thickTop="1" thickBot="1">
      <c r="A32" s="71"/>
      <c r="J32" s="72"/>
    </row>
    <row r="33" spans="1:13" ht="14.5" customHeight="1">
      <c r="A33" s="73" t="str">
        <f>IF(_IB&gt;=50000,"NOTE: The insurer will also need to make monthly payments of "&amp;TEXT(_IB*0.15,"$#,##0.00")&amp; " in March through August of "&amp;TEXT(_TaxYear+1,"0000") &amp;", ","")</f>
        <v/>
      </c>
      <c r="B33" s="74"/>
      <c r="C33" s="74"/>
      <c r="D33" s="74"/>
      <c r="E33" s="74"/>
      <c r="F33" s="74"/>
      <c r="G33" s="74"/>
      <c r="H33" s="74"/>
      <c r="I33" s="74"/>
      <c r="J33" s="74"/>
      <c r="K33" s="75"/>
      <c r="M33" s="76">
        <f>IF(_IB&gt;=50000,_IB*0.15,0)</f>
        <v>0</v>
      </c>
    </row>
    <row r="34" spans="1:13" ht="14.5" customHeight="1" thickBot="1">
      <c r="A34" s="77" t="str">
        <f>IF(_IB&gt;=50000,"which is 15% of the Line 3 amount. See Annual Taxes and Fees Instructions (document E-TAX-I) for details.","")</f>
        <v/>
      </c>
      <c r="B34" s="78"/>
      <c r="C34" s="78"/>
      <c r="D34" s="78"/>
      <c r="E34" s="78"/>
      <c r="F34" s="78"/>
      <c r="G34" s="79"/>
      <c r="H34" s="78"/>
      <c r="I34" s="78"/>
      <c r="J34" s="80"/>
      <c r="K34" s="81"/>
    </row>
    <row r="35" spans="1:13" ht="3" customHeight="1">
      <c r="A35" s="82"/>
      <c r="J35" s="72"/>
    </row>
    <row r="36" spans="1:13" ht="16" hidden="1" thickBot="1">
      <c r="A36" s="83"/>
      <c r="B36" s="84"/>
      <c r="C36" s="84"/>
      <c r="D36" s="84"/>
      <c r="E36" s="84"/>
      <c r="F36" s="84"/>
      <c r="G36" s="85"/>
      <c r="H36" s="84"/>
      <c r="I36" s="84"/>
      <c r="J36" s="84"/>
      <c r="K36" s="84"/>
    </row>
    <row r="37" spans="1:13" ht="13.5" hidden="1" customHeight="1" thickTop="1">
      <c r="A37" s="352" t="s">
        <v>31</v>
      </c>
      <c r="B37" s="353"/>
      <c r="C37" s="340">
        <f>+_PC_FSC_Total</f>
        <v>0</v>
      </c>
      <c r="D37" s="341"/>
      <c r="E37" s="86" t="s">
        <v>32</v>
      </c>
      <c r="F37" s="87" t="e">
        <f>+#REF!</f>
        <v>#REF!</v>
      </c>
      <c r="G37" s="88" t="s">
        <v>33</v>
      </c>
      <c r="H37" s="358" t="e">
        <f>+#REF!</f>
        <v>#REF!</v>
      </c>
      <c r="I37" s="359"/>
      <c r="J37" s="89" t="s">
        <v>280</v>
      </c>
      <c r="K37" s="90"/>
    </row>
    <row r="38" spans="1:13" ht="13.5" hidden="1" customHeight="1">
      <c r="A38" s="339" t="s">
        <v>34</v>
      </c>
      <c r="B38" s="339"/>
      <c r="C38" s="346" t="e">
        <f>+#REF!+#REF!+#REF!+G84-G48-G63</f>
        <v>#REF!</v>
      </c>
      <c r="D38" s="347"/>
      <c r="E38" s="91" t="s">
        <v>35</v>
      </c>
      <c r="F38" s="92" t="e">
        <f>+#REF!+#REF!</f>
        <v>#REF!</v>
      </c>
      <c r="G38" s="93" t="s">
        <v>279</v>
      </c>
      <c r="H38" s="356">
        <f>-_TIP</f>
        <v>0</v>
      </c>
      <c r="I38" s="355"/>
      <c r="J38" s="363">
        <f>+_FT</f>
        <v>0</v>
      </c>
      <c r="K38" s="364"/>
    </row>
    <row r="39" spans="1:13" ht="13.5" hidden="1" customHeight="1">
      <c r="A39" s="339" t="s">
        <v>36</v>
      </c>
      <c r="B39" s="339"/>
      <c r="C39" s="346">
        <f>+PC02.2_Other</f>
        <v>0</v>
      </c>
      <c r="D39" s="347"/>
      <c r="E39" s="91" t="s">
        <v>37</v>
      </c>
      <c r="F39" s="92" t="e">
        <f>+#REF!+#REF!+#REF!+H84-H63-H48</f>
        <v>#REF!</v>
      </c>
      <c r="G39" s="93" t="s">
        <v>278</v>
      </c>
      <c r="H39" s="354">
        <f>+_RT</f>
        <v>0</v>
      </c>
      <c r="I39" s="355"/>
      <c r="J39" s="94" t="s">
        <v>281</v>
      </c>
      <c r="K39" s="95"/>
    </row>
    <row r="40" spans="1:13" ht="13.5" hidden="1" customHeight="1" thickBot="1">
      <c r="A40" s="342" t="s">
        <v>38</v>
      </c>
      <c r="B40" s="343"/>
      <c r="C40" s="344" t="e">
        <f>+#REF!</f>
        <v>#REF!</v>
      </c>
      <c r="D40" s="345"/>
      <c r="E40" s="96" t="s">
        <v>39</v>
      </c>
      <c r="F40" s="97">
        <f>+PC16_Other</f>
        <v>0</v>
      </c>
      <c r="G40" s="98" t="s">
        <v>40</v>
      </c>
      <c r="H40" s="335">
        <f>+I125-I18</f>
        <v>0</v>
      </c>
      <c r="I40" s="336"/>
      <c r="J40" s="337">
        <f>+_VT</f>
        <v>0</v>
      </c>
      <c r="K40" s="338"/>
    </row>
    <row r="41" spans="1:13" ht="2.25" customHeight="1">
      <c r="J41" s="72"/>
    </row>
    <row r="42" spans="1:13" ht="16.5" customHeight="1">
      <c r="J42" s="99"/>
      <c r="K42" s="100" t="str">
        <f>TEXT(K3,"0000")&amp;" | "&amp;TRIM(C12)&amp;" ("&amp;IF(+A12="","",TEXT(A12,"00000")&amp;")"&amp;IF(TRIM(H6)="Yes"," [AMENDED]",""))</f>
        <v>2024 |  (</v>
      </c>
    </row>
    <row r="43" spans="1:13" ht="14.25" customHeight="1">
      <c r="A43" s="40" t="s">
        <v>567</v>
      </c>
      <c r="B43" s="48"/>
      <c r="C43" s="41"/>
      <c r="D43" s="41"/>
      <c r="E43" s="41"/>
      <c r="F43" s="41"/>
      <c r="G43" s="42"/>
      <c r="H43" s="41"/>
      <c r="I43" s="41"/>
      <c r="J43" s="41"/>
      <c r="K43" s="41"/>
    </row>
    <row r="44" spans="1:13" ht="16.5" customHeight="1">
      <c r="A44" s="101"/>
      <c r="B44" s="102"/>
      <c r="C44" s="102"/>
      <c r="D44" s="103"/>
      <c r="E44" s="104" t="s">
        <v>41</v>
      </c>
      <c r="F44" s="105" t="s">
        <v>42</v>
      </c>
      <c r="G44" s="105" t="s">
        <v>43</v>
      </c>
      <c r="H44" s="435" t="s">
        <v>44</v>
      </c>
      <c r="I44" s="436"/>
      <c r="J44" s="453" t="s">
        <v>45</v>
      </c>
      <c r="K44" s="454"/>
    </row>
    <row r="45" spans="1:13" ht="26.5">
      <c r="A45" s="106" t="s">
        <v>46</v>
      </c>
      <c r="B45" s="107"/>
      <c r="C45" s="107"/>
      <c r="D45" s="108"/>
      <c r="E45" s="109" t="s">
        <v>47</v>
      </c>
      <c r="F45" s="110" t="s">
        <v>48</v>
      </c>
      <c r="G45" s="110" t="s">
        <v>49</v>
      </c>
      <c r="H45" s="400" t="s">
        <v>50</v>
      </c>
      <c r="I45" s="401"/>
      <c r="J45" s="400" t="s">
        <v>534</v>
      </c>
      <c r="K45" s="402"/>
    </row>
    <row r="46" spans="1:13">
      <c r="A46" s="111" t="s">
        <v>51</v>
      </c>
      <c r="B46" s="112" t="s">
        <v>52</v>
      </c>
      <c r="C46" s="112"/>
      <c r="D46" s="113"/>
      <c r="E46" s="114"/>
      <c r="F46" s="115"/>
      <c r="G46" s="114"/>
      <c r="H46" s="393"/>
      <c r="I46" s="393"/>
      <c r="J46" s="389">
        <f>ROUND(+E46,0)+ROUND(F46,0)-ROUND(H46,0)-ROUND(G46,0)</f>
        <v>0</v>
      </c>
      <c r="K46" s="390"/>
    </row>
    <row r="47" spans="1:13">
      <c r="A47" s="116" t="s">
        <v>53</v>
      </c>
      <c r="B47" s="117" t="s">
        <v>54</v>
      </c>
      <c r="C47" s="117"/>
      <c r="D47" s="118"/>
      <c r="E47" s="119"/>
      <c r="F47" s="115"/>
      <c r="G47" s="119"/>
      <c r="H47" s="393"/>
      <c r="I47" s="393"/>
      <c r="J47" s="389">
        <f>ROUND(+E47,0)+ROUND(F47,0)-ROUND(H47,0)-ROUND(G47,0)</f>
        <v>0</v>
      </c>
      <c r="K47" s="390"/>
    </row>
    <row r="48" spans="1:13">
      <c r="A48" s="116" t="s">
        <v>55</v>
      </c>
      <c r="B48" s="117" t="s">
        <v>56</v>
      </c>
      <c r="C48" s="117"/>
      <c r="D48" s="118"/>
      <c r="E48" s="119"/>
      <c r="F48" s="115"/>
      <c r="G48" s="119"/>
      <c r="H48" s="403">
        <f>ROUND(+E48,0)+ROUND(F48,0)-ROUND(G48,0)</f>
        <v>0</v>
      </c>
      <c r="I48" s="403"/>
      <c r="J48" s="389">
        <f>ROUND(+E48,0)+ROUND(F48,0)-ROUND(H48,0)-ROUND(G48,0)</f>
        <v>0</v>
      </c>
      <c r="K48" s="390"/>
    </row>
    <row r="49" spans="1:11">
      <c r="A49" s="116" t="s">
        <v>57</v>
      </c>
      <c r="B49" s="117" t="s">
        <v>58</v>
      </c>
      <c r="C49" s="117"/>
      <c r="D49" s="118"/>
      <c r="E49" s="119"/>
      <c r="F49" s="115"/>
      <c r="G49" s="119"/>
      <c r="H49" s="393"/>
      <c r="I49" s="393"/>
      <c r="J49" s="389">
        <f t="shared" ref="J49:J60" si="1">ROUND(+E49,0)+ROUND(F49,0)-ROUND(H49,0)-ROUND(G49,0)</f>
        <v>0</v>
      </c>
      <c r="K49" s="438"/>
    </row>
    <row r="50" spans="1:11">
      <c r="A50" s="116" t="s">
        <v>59</v>
      </c>
      <c r="B50" s="117" t="s">
        <v>60</v>
      </c>
      <c r="C50" s="117"/>
      <c r="D50" s="118"/>
      <c r="E50" s="119"/>
      <c r="F50" s="115"/>
      <c r="G50" s="119"/>
      <c r="H50" s="393"/>
      <c r="I50" s="393"/>
      <c r="J50" s="389">
        <f t="shared" si="1"/>
        <v>0</v>
      </c>
      <c r="K50" s="390"/>
    </row>
    <row r="51" spans="1:11">
      <c r="A51" s="116" t="s">
        <v>283</v>
      </c>
      <c r="B51" s="117" t="s">
        <v>284</v>
      </c>
      <c r="C51" s="117"/>
      <c r="D51" s="118"/>
      <c r="E51" s="119"/>
      <c r="F51" s="115"/>
      <c r="G51" s="119"/>
      <c r="H51" s="393"/>
      <c r="I51" s="393"/>
      <c r="J51" s="389">
        <f t="shared" si="1"/>
        <v>0</v>
      </c>
      <c r="K51" s="390"/>
    </row>
    <row r="52" spans="1:11">
      <c r="A52" s="116" t="s">
        <v>61</v>
      </c>
      <c r="B52" s="117" t="s">
        <v>62</v>
      </c>
      <c r="C52" s="117"/>
      <c r="D52" s="118"/>
      <c r="E52" s="119"/>
      <c r="F52" s="115"/>
      <c r="G52" s="119"/>
      <c r="H52" s="393"/>
      <c r="I52" s="393"/>
      <c r="J52" s="389">
        <f t="shared" si="1"/>
        <v>0</v>
      </c>
      <c r="K52" s="390"/>
    </row>
    <row r="53" spans="1:11">
      <c r="A53" s="116" t="s">
        <v>63</v>
      </c>
      <c r="B53" s="117" t="s">
        <v>64</v>
      </c>
      <c r="C53" s="117"/>
      <c r="D53" s="118"/>
      <c r="E53" s="119"/>
      <c r="F53" s="115"/>
      <c r="G53" s="119"/>
      <c r="H53" s="393"/>
      <c r="I53" s="393"/>
      <c r="J53" s="389">
        <f t="shared" si="1"/>
        <v>0</v>
      </c>
      <c r="K53" s="390"/>
    </row>
    <row r="54" spans="1:11">
      <c r="A54" s="116" t="s">
        <v>65</v>
      </c>
      <c r="B54" s="117" t="s">
        <v>66</v>
      </c>
      <c r="C54" s="117"/>
      <c r="D54" s="118"/>
      <c r="E54" s="119"/>
      <c r="F54" s="115"/>
      <c r="G54" s="119"/>
      <c r="H54" s="393"/>
      <c r="I54" s="393"/>
      <c r="J54" s="389">
        <f t="shared" si="1"/>
        <v>0</v>
      </c>
      <c r="K54" s="390"/>
    </row>
    <row r="55" spans="1:11">
      <c r="A55" s="116" t="s">
        <v>67</v>
      </c>
      <c r="B55" s="117" t="s">
        <v>68</v>
      </c>
      <c r="C55" s="117"/>
      <c r="D55" s="118"/>
      <c r="E55" s="119"/>
      <c r="F55" s="115"/>
      <c r="G55" s="119"/>
      <c r="H55" s="393"/>
      <c r="I55" s="393"/>
      <c r="J55" s="389">
        <f>ROUND(+E55,0)+ROUND(F55,0)-ROUND(H55,0)-ROUND(G55,0)</f>
        <v>0</v>
      </c>
      <c r="K55" s="390"/>
    </row>
    <row r="56" spans="1:11">
      <c r="A56" s="116" t="s">
        <v>69</v>
      </c>
      <c r="B56" s="117" t="s">
        <v>70</v>
      </c>
      <c r="C56" s="117"/>
      <c r="D56" s="118"/>
      <c r="E56" s="119"/>
      <c r="F56" s="115"/>
      <c r="G56" s="119"/>
      <c r="H56" s="393"/>
      <c r="I56" s="393"/>
      <c r="J56" s="389">
        <f>ROUND(+E56,0)+ROUND(F56,0)-ROUND(H56,0)-ROUND(G56,0)</f>
        <v>0</v>
      </c>
      <c r="K56" s="390"/>
    </row>
    <row r="57" spans="1:11">
      <c r="A57" s="116" t="s">
        <v>71</v>
      </c>
      <c r="B57" s="117" t="s">
        <v>72</v>
      </c>
      <c r="C57" s="117"/>
      <c r="D57" s="118"/>
      <c r="E57" s="119"/>
      <c r="F57" s="115"/>
      <c r="G57" s="119"/>
      <c r="H57" s="393"/>
      <c r="I57" s="393"/>
      <c r="J57" s="389">
        <f t="shared" si="1"/>
        <v>0</v>
      </c>
      <c r="K57" s="390"/>
    </row>
    <row r="58" spans="1:11">
      <c r="A58" s="116" t="s">
        <v>575</v>
      </c>
      <c r="B58" s="117" t="s">
        <v>73</v>
      </c>
      <c r="C58" s="117"/>
      <c r="D58" s="118"/>
      <c r="E58" s="119"/>
      <c r="F58" s="115"/>
      <c r="G58" s="119"/>
      <c r="H58" s="393"/>
      <c r="I58" s="393"/>
      <c r="J58" s="389">
        <f>ROUND(+E58,0)+ROUND(F58,0)-ROUND(H58,0)-ROUND(G58,0)</f>
        <v>0</v>
      </c>
      <c r="K58" s="390"/>
    </row>
    <row r="59" spans="1:11">
      <c r="A59" s="116" t="s">
        <v>576</v>
      </c>
      <c r="B59" s="308" t="s">
        <v>577</v>
      </c>
      <c r="C59" s="308"/>
      <c r="D59" s="118"/>
      <c r="E59" s="309"/>
      <c r="F59" s="115"/>
      <c r="G59" s="309"/>
      <c r="H59" s="404"/>
      <c r="I59" s="405"/>
      <c r="J59" s="389">
        <f>ROUND(+E59,0)+ROUND(F59,0)-ROUND(H59,0)-ROUND(G59,0)</f>
        <v>0</v>
      </c>
      <c r="K59" s="390"/>
    </row>
    <row r="60" spans="1:11">
      <c r="A60" s="116" t="s">
        <v>74</v>
      </c>
      <c r="B60" s="117" t="s">
        <v>75</v>
      </c>
      <c r="C60" s="117"/>
      <c r="D60" s="118"/>
      <c r="E60" s="119"/>
      <c r="F60" s="115"/>
      <c r="G60" s="119"/>
      <c r="H60" s="393"/>
      <c r="I60" s="393"/>
      <c r="J60" s="389">
        <f t="shared" si="1"/>
        <v>0</v>
      </c>
      <c r="K60" s="390"/>
    </row>
    <row r="61" spans="1:11">
      <c r="A61" s="116" t="s">
        <v>76</v>
      </c>
      <c r="B61" s="117" t="s">
        <v>77</v>
      </c>
      <c r="C61" s="117"/>
      <c r="D61" s="118"/>
      <c r="E61" s="119"/>
      <c r="F61" s="115"/>
      <c r="G61" s="119"/>
      <c r="H61" s="393"/>
      <c r="I61" s="393"/>
      <c r="J61" s="389">
        <f t="shared" ref="J61:J67" si="2">ROUND(+E61,0)+ROUND(F61,0)-ROUND(H61,0)-ROUND(G61,0)</f>
        <v>0</v>
      </c>
      <c r="K61" s="390"/>
    </row>
    <row r="62" spans="1:11">
      <c r="A62" s="116" t="s">
        <v>78</v>
      </c>
      <c r="B62" s="117" t="s">
        <v>79</v>
      </c>
      <c r="C62" s="117"/>
      <c r="D62" s="118"/>
      <c r="E62" s="119"/>
      <c r="F62" s="115"/>
      <c r="G62" s="119"/>
      <c r="H62" s="393"/>
      <c r="I62" s="393"/>
      <c r="J62" s="389">
        <f t="shared" si="2"/>
        <v>0</v>
      </c>
      <c r="K62" s="390"/>
    </row>
    <row r="63" spans="1:11">
      <c r="A63" s="116" t="s">
        <v>80</v>
      </c>
      <c r="B63" s="117" t="s">
        <v>81</v>
      </c>
      <c r="C63" s="117"/>
      <c r="D63" s="118"/>
      <c r="E63" s="119"/>
      <c r="F63" s="115"/>
      <c r="G63" s="119"/>
      <c r="H63" s="403">
        <f>ROUND(+E63,0)+ROUND(F63,0)-ROUND(G63,0)</f>
        <v>0</v>
      </c>
      <c r="I63" s="403"/>
      <c r="J63" s="389">
        <f t="shared" si="2"/>
        <v>0</v>
      </c>
      <c r="K63" s="390"/>
    </row>
    <row r="64" spans="1:11">
      <c r="A64" s="116" t="s">
        <v>82</v>
      </c>
      <c r="B64" s="117" t="s">
        <v>83</v>
      </c>
      <c r="C64" s="117"/>
      <c r="D64" s="118"/>
      <c r="E64" s="119"/>
      <c r="F64" s="115"/>
      <c r="G64" s="119"/>
      <c r="H64" s="393"/>
      <c r="I64" s="393"/>
      <c r="J64" s="389">
        <f t="shared" si="2"/>
        <v>0</v>
      </c>
      <c r="K64" s="390"/>
    </row>
    <row r="65" spans="1:11">
      <c r="A65" s="116" t="s">
        <v>84</v>
      </c>
      <c r="B65" s="117" t="s">
        <v>85</v>
      </c>
      <c r="C65" s="117"/>
      <c r="D65" s="118"/>
      <c r="E65" s="119"/>
      <c r="F65" s="115"/>
      <c r="G65" s="119"/>
      <c r="H65" s="393"/>
      <c r="I65" s="393"/>
      <c r="J65" s="389">
        <f t="shared" si="2"/>
        <v>0</v>
      </c>
      <c r="K65" s="438"/>
    </row>
    <row r="66" spans="1:11">
      <c r="A66" s="116" t="s">
        <v>86</v>
      </c>
      <c r="B66" s="117" t="s">
        <v>87</v>
      </c>
      <c r="C66" s="117"/>
      <c r="D66" s="118"/>
      <c r="E66" s="119"/>
      <c r="F66" s="115"/>
      <c r="G66" s="119"/>
      <c r="H66" s="393"/>
      <c r="I66" s="393"/>
      <c r="J66" s="389">
        <f t="shared" si="2"/>
        <v>0</v>
      </c>
      <c r="K66" s="438"/>
    </row>
    <row r="67" spans="1:11">
      <c r="A67" s="116" t="s">
        <v>88</v>
      </c>
      <c r="B67" s="117" t="s">
        <v>89</v>
      </c>
      <c r="C67" s="117"/>
      <c r="D67" s="118"/>
      <c r="E67" s="119"/>
      <c r="F67" s="115"/>
      <c r="G67" s="119"/>
      <c r="H67" s="393"/>
      <c r="I67" s="393"/>
      <c r="J67" s="389">
        <f t="shared" si="2"/>
        <v>0</v>
      </c>
      <c r="K67" s="438"/>
    </row>
    <row r="68" spans="1:11">
      <c r="A68" s="120"/>
      <c r="B68" s="121"/>
      <c r="C68" s="121"/>
      <c r="D68" s="122"/>
      <c r="E68" s="123"/>
      <c r="F68" s="124"/>
      <c r="G68" s="123"/>
      <c r="H68" s="394"/>
      <c r="I68" s="394"/>
      <c r="J68" s="391"/>
      <c r="K68" s="392"/>
    </row>
    <row r="69" spans="1:11">
      <c r="A69" s="116" t="s">
        <v>90</v>
      </c>
      <c r="B69" s="117" t="s">
        <v>91</v>
      </c>
      <c r="C69" s="117"/>
      <c r="D69" s="125"/>
      <c r="E69" s="114"/>
      <c r="F69" s="115"/>
      <c r="G69" s="114"/>
      <c r="H69" s="393"/>
      <c r="I69" s="393"/>
      <c r="J69" s="389">
        <f t="shared" ref="J69:J74" si="3">ROUND(+E69,0)+ROUND(F69,0)-ROUND(H69,0)-ROUND(G69,0)</f>
        <v>0</v>
      </c>
      <c r="K69" s="390"/>
    </row>
    <row r="70" spans="1:11">
      <c r="A70" s="116" t="s">
        <v>92</v>
      </c>
      <c r="B70" s="117" t="s">
        <v>93</v>
      </c>
      <c r="C70" s="117"/>
      <c r="D70" s="125"/>
      <c r="E70" s="114"/>
      <c r="F70" s="115"/>
      <c r="G70" s="114"/>
      <c r="H70" s="393"/>
      <c r="I70" s="393"/>
      <c r="J70" s="389">
        <f t="shared" si="3"/>
        <v>0</v>
      </c>
      <c r="K70" s="390"/>
    </row>
    <row r="71" spans="1:11">
      <c r="A71" s="116" t="s">
        <v>94</v>
      </c>
      <c r="B71" s="117" t="s">
        <v>95</v>
      </c>
      <c r="C71" s="117"/>
      <c r="D71" s="125"/>
      <c r="E71" s="114"/>
      <c r="F71" s="115"/>
      <c r="G71" s="114"/>
      <c r="H71" s="393"/>
      <c r="I71" s="393"/>
      <c r="J71" s="389">
        <f t="shared" si="3"/>
        <v>0</v>
      </c>
      <c r="K71" s="390"/>
    </row>
    <row r="72" spans="1:11">
      <c r="A72" s="116" t="s">
        <v>96</v>
      </c>
      <c r="B72" s="117" t="s">
        <v>97</v>
      </c>
      <c r="C72" s="117"/>
      <c r="D72" s="125"/>
      <c r="E72" s="114"/>
      <c r="F72" s="115"/>
      <c r="G72" s="114"/>
      <c r="H72" s="393"/>
      <c r="I72" s="393"/>
      <c r="J72" s="389">
        <f t="shared" si="3"/>
        <v>0</v>
      </c>
      <c r="K72" s="390"/>
    </row>
    <row r="73" spans="1:11">
      <c r="A73" s="116" t="s">
        <v>98</v>
      </c>
      <c r="B73" s="117" t="s">
        <v>99</v>
      </c>
      <c r="C73" s="117"/>
      <c r="D73" s="125"/>
      <c r="E73" s="114"/>
      <c r="F73" s="115"/>
      <c r="G73" s="114"/>
      <c r="H73" s="393"/>
      <c r="I73" s="393"/>
      <c r="J73" s="389">
        <f t="shared" si="3"/>
        <v>0</v>
      </c>
      <c r="K73" s="390"/>
    </row>
    <row r="74" spans="1:11">
      <c r="A74" s="116" t="s">
        <v>100</v>
      </c>
      <c r="B74" s="117" t="s">
        <v>101</v>
      </c>
      <c r="C74" s="117"/>
      <c r="D74" s="125"/>
      <c r="E74" s="114"/>
      <c r="F74" s="115"/>
      <c r="G74" s="114"/>
      <c r="H74" s="393"/>
      <c r="I74" s="393"/>
      <c r="J74" s="389">
        <f t="shared" si="3"/>
        <v>0</v>
      </c>
      <c r="K74" s="390"/>
    </row>
    <row r="75" spans="1:11">
      <c r="A75" s="120"/>
      <c r="B75" s="121"/>
      <c r="C75" s="121"/>
      <c r="D75" s="122"/>
      <c r="E75" s="123"/>
      <c r="F75" s="124"/>
      <c r="G75" s="123"/>
      <c r="H75" s="394"/>
      <c r="I75" s="394"/>
      <c r="J75" s="391"/>
      <c r="K75" s="392"/>
    </row>
    <row r="76" spans="1:11">
      <c r="A76" s="116" t="s">
        <v>102</v>
      </c>
      <c r="B76" s="117" t="s">
        <v>103</v>
      </c>
      <c r="C76" s="117"/>
      <c r="D76" s="125"/>
      <c r="E76" s="114"/>
      <c r="F76" s="115"/>
      <c r="G76" s="114"/>
      <c r="H76" s="393"/>
      <c r="I76" s="393"/>
      <c r="J76" s="389">
        <f t="shared" ref="J76:J83" si="4">ROUND(+E76,0)+ROUND(F76,0)-ROUND(H76,0)-ROUND(G76,0)</f>
        <v>0</v>
      </c>
      <c r="K76" s="390"/>
    </row>
    <row r="77" spans="1:11">
      <c r="A77" s="116" t="s">
        <v>104</v>
      </c>
      <c r="B77" s="117" t="s">
        <v>105</v>
      </c>
      <c r="C77" s="117"/>
      <c r="D77" s="125"/>
      <c r="E77" s="114"/>
      <c r="F77" s="115"/>
      <c r="G77" s="114"/>
      <c r="H77" s="393"/>
      <c r="I77" s="393"/>
      <c r="J77" s="389">
        <f t="shared" si="4"/>
        <v>0</v>
      </c>
      <c r="K77" s="390"/>
    </row>
    <row r="78" spans="1:11">
      <c r="A78" s="116" t="s">
        <v>106</v>
      </c>
      <c r="B78" s="117" t="s">
        <v>107</v>
      </c>
      <c r="C78" s="117"/>
      <c r="D78" s="125"/>
      <c r="E78" s="114"/>
      <c r="F78" s="115"/>
      <c r="G78" s="114"/>
      <c r="H78" s="393"/>
      <c r="I78" s="393"/>
      <c r="J78" s="389">
        <f t="shared" si="4"/>
        <v>0</v>
      </c>
      <c r="K78" s="390"/>
    </row>
    <row r="79" spans="1:11">
      <c r="A79" s="116" t="s">
        <v>108</v>
      </c>
      <c r="B79" s="117" t="s">
        <v>109</v>
      </c>
      <c r="C79" s="117"/>
      <c r="D79" s="125"/>
      <c r="E79" s="114"/>
      <c r="F79" s="115"/>
      <c r="G79" s="114"/>
      <c r="H79" s="393"/>
      <c r="I79" s="393"/>
      <c r="J79" s="389">
        <f>ROUND(+E79,0)+ROUND(F79,0)-ROUND(H79,0)-ROUND(G79,0)</f>
        <v>0</v>
      </c>
      <c r="K79" s="390"/>
    </row>
    <row r="80" spans="1:11">
      <c r="A80" s="116" t="s">
        <v>110</v>
      </c>
      <c r="B80" s="117" t="s">
        <v>111</v>
      </c>
      <c r="C80" s="117"/>
      <c r="D80" s="125"/>
      <c r="E80" s="114"/>
      <c r="F80" s="115"/>
      <c r="G80" s="114"/>
      <c r="H80" s="393"/>
      <c r="I80" s="393"/>
      <c r="J80" s="389">
        <f>ROUND(+E80,0)+ROUND(F80,0)-ROUND(H80,0)-ROUND(G80,0)</f>
        <v>0</v>
      </c>
      <c r="K80" s="390"/>
    </row>
    <row r="81" spans="1:13">
      <c r="A81" s="116" t="s">
        <v>112</v>
      </c>
      <c r="B81" s="117" t="s">
        <v>113</v>
      </c>
      <c r="C81" s="117"/>
      <c r="D81" s="125"/>
      <c r="E81" s="114"/>
      <c r="F81" s="115"/>
      <c r="G81" s="114"/>
      <c r="H81" s="393"/>
      <c r="I81" s="393"/>
      <c r="J81" s="389">
        <f t="shared" si="4"/>
        <v>0</v>
      </c>
      <c r="K81" s="390"/>
    </row>
    <row r="82" spans="1:13">
      <c r="A82" s="116" t="s">
        <v>114</v>
      </c>
      <c r="B82" s="117" t="s">
        <v>115</v>
      </c>
      <c r="C82" s="117"/>
      <c r="D82" s="125"/>
      <c r="E82" s="114"/>
      <c r="F82" s="115"/>
      <c r="G82" s="114"/>
      <c r="H82" s="393"/>
      <c r="I82" s="393"/>
      <c r="J82" s="389">
        <f t="shared" si="4"/>
        <v>0</v>
      </c>
      <c r="K82" s="390"/>
    </row>
    <row r="83" spans="1:13">
      <c r="A83" s="126" t="s">
        <v>116</v>
      </c>
      <c r="B83" s="127" t="s">
        <v>117</v>
      </c>
      <c r="C83" s="127"/>
      <c r="D83" s="128"/>
      <c r="E83" s="114"/>
      <c r="F83" s="115"/>
      <c r="G83" s="129"/>
      <c r="H83" s="444"/>
      <c r="I83" s="444"/>
      <c r="J83" s="389">
        <f t="shared" si="4"/>
        <v>0</v>
      </c>
      <c r="K83" s="390"/>
    </row>
    <row r="84" spans="1:13">
      <c r="A84" s="130" t="s">
        <v>574</v>
      </c>
      <c r="B84" s="131"/>
      <c r="C84" s="131"/>
      <c r="D84" s="132"/>
      <c r="E84" s="133">
        <f>ROUND(SUM(E46:E83),0)</f>
        <v>0</v>
      </c>
      <c r="F84" s="133">
        <f>ROUND(SUM(F46:F83),0)</f>
        <v>0</v>
      </c>
      <c r="G84" s="133">
        <f>ROUND(SUM(G46:G83),0)</f>
        <v>0</v>
      </c>
      <c r="H84" s="397">
        <f>ROUND(SUM(H46:I83),0)</f>
        <v>0</v>
      </c>
      <c r="I84" s="398"/>
      <c r="J84" s="365">
        <f>+E84+F84-G84-H84</f>
        <v>0</v>
      </c>
      <c r="K84" s="366"/>
      <c r="L84" s="134"/>
    </row>
    <row r="85" spans="1:13" s="37" customFormat="1" ht="16" thickBot="1">
      <c r="A85" s="120"/>
      <c r="B85" s="121"/>
      <c r="C85" s="121"/>
      <c r="D85" s="122"/>
      <c r="E85" s="123"/>
      <c r="F85" s="124"/>
      <c r="G85" s="123"/>
      <c r="H85" s="394"/>
      <c r="I85" s="394"/>
      <c r="J85" s="391"/>
      <c r="K85" s="392"/>
      <c r="L85" s="20"/>
      <c r="M85" s="20"/>
    </row>
    <row r="86" spans="1:13" ht="14.25" customHeight="1" thickBot="1">
      <c r="A86" s="135" t="s">
        <v>118</v>
      </c>
      <c r="B86" s="131"/>
      <c r="C86" s="131"/>
      <c r="D86" s="131"/>
      <c r="E86" s="306"/>
      <c r="G86" s="136" t="str">
        <f>+IF(E86&lt;&gt;F84,"◄ Completely allocate finance/svc charges","")</f>
        <v/>
      </c>
      <c r="H86" s="136"/>
      <c r="I86" s="137"/>
    </row>
    <row r="87" spans="1:13" ht="6" customHeight="1">
      <c r="A87" s="43"/>
      <c r="B87" s="43"/>
      <c r="C87" s="43"/>
      <c r="D87" s="43"/>
      <c r="E87" s="138"/>
      <c r="G87" s="136"/>
      <c r="H87" s="136"/>
      <c r="I87" s="137"/>
    </row>
    <row r="88" spans="1:13" ht="14.25" customHeight="1">
      <c r="A88" s="43" t="s">
        <v>119</v>
      </c>
      <c r="E88" s="139"/>
      <c r="F88" s="139"/>
      <c r="G88" s="140"/>
      <c r="H88" s="136"/>
      <c r="I88" s="136"/>
      <c r="J88" s="137"/>
      <c r="K88" s="137"/>
    </row>
    <row r="89" spans="1:13" ht="15.5" customHeight="1">
      <c r="A89" s="141" t="str">
        <f>IF(SUM($H$84:$H$84)-$H$48-$H$63&lt;&gt;0,"Describe other subtractions:","Notes:")</f>
        <v>Notes:</v>
      </c>
      <c r="B89" s="44"/>
      <c r="C89" s="44"/>
      <c r="D89" s="44"/>
      <c r="E89" s="142"/>
      <c r="F89" s="142"/>
      <c r="G89" s="143"/>
      <c r="H89" s="144"/>
      <c r="I89" s="144"/>
      <c r="J89" s="145"/>
      <c r="K89" s="146"/>
    </row>
    <row r="90" spans="1:13" ht="61" customHeight="1">
      <c r="A90" s="441"/>
      <c r="B90" s="442"/>
      <c r="C90" s="442"/>
      <c r="D90" s="442"/>
      <c r="E90" s="442"/>
      <c r="F90" s="442"/>
      <c r="G90" s="442"/>
      <c r="H90" s="442"/>
      <c r="I90" s="442"/>
      <c r="J90" s="442"/>
      <c r="K90" s="443"/>
    </row>
    <row r="91" spans="1:13" ht="19.5" customHeight="1"/>
    <row r="92" spans="1:13" ht="25" customHeight="1">
      <c r="A92" s="37" t="s">
        <v>523</v>
      </c>
      <c r="J92" s="99"/>
      <c r="K92" s="100" t="str">
        <f>+K42</f>
        <v>2024 |  (</v>
      </c>
    </row>
    <row r="93" spans="1:13" ht="3.5" customHeight="1">
      <c r="A93" s="40" t="s">
        <v>120</v>
      </c>
      <c r="B93" s="48"/>
      <c r="C93" s="41"/>
      <c r="D93" s="41"/>
      <c r="E93" s="41"/>
      <c r="F93" s="41"/>
      <c r="G93" s="42"/>
      <c r="H93" s="41"/>
      <c r="I93" s="41"/>
      <c r="J93" s="41"/>
      <c r="K93" s="41"/>
    </row>
    <row r="94" spans="1:13" hidden="1">
      <c r="A94" s="147"/>
      <c r="B94" s="148"/>
      <c r="C94" s="149"/>
      <c r="D94" s="149"/>
      <c r="E94" s="149"/>
      <c r="F94" s="149"/>
      <c r="G94" s="150"/>
      <c r="H94" s="50"/>
      <c r="I94" s="50"/>
      <c r="J94" s="72"/>
      <c r="K94" s="65"/>
    </row>
    <row r="95" spans="1:13">
      <c r="A95" s="151" t="s">
        <v>121</v>
      </c>
      <c r="B95" s="152"/>
      <c r="C95" s="153"/>
      <c r="D95" s="153"/>
      <c r="E95" s="153"/>
      <c r="F95" s="153"/>
      <c r="G95" s="154"/>
      <c r="H95" s="153"/>
      <c r="I95" s="153"/>
      <c r="J95" s="153"/>
      <c r="K95" s="153"/>
    </row>
    <row r="96" spans="1:13">
      <c r="A96" s="367"/>
      <c r="B96" s="368"/>
      <c r="C96" s="368"/>
      <c r="D96" s="368"/>
      <c r="E96" s="368"/>
      <c r="F96" s="368"/>
      <c r="G96" s="368"/>
      <c r="H96" s="368"/>
      <c r="I96" s="368"/>
      <c r="J96" s="368"/>
      <c r="K96" s="368"/>
    </row>
    <row r="97" spans="1:12">
      <c r="A97" s="155">
        <v>1</v>
      </c>
      <c r="B97" s="387" t="str">
        <f>"Fire insurance taxable amount"</f>
        <v>Fire insurance taxable amount</v>
      </c>
      <c r="C97" s="387"/>
      <c r="D97" s="387"/>
      <c r="E97" s="387"/>
      <c r="F97" s="396"/>
      <c r="G97" s="156">
        <f>ROUND(+J46,0)</f>
        <v>0</v>
      </c>
      <c r="H97" s="69"/>
      <c r="I97" s="65"/>
      <c r="L97" s="157" t="s">
        <v>122</v>
      </c>
    </row>
    <row r="98" spans="1:12">
      <c r="A98" s="158">
        <f t="shared" ref="A98:A116" si="5">+A97+1</f>
        <v>2</v>
      </c>
      <c r="B98" s="383" t="str">
        <f>IF(G97&lt;&gt;0,"How much of Line "&amp;TEXT(A97,"0")&amp;" was for property in Carefree?","Skip This Line because the amount on Line "&amp;TEXT(A97,"0")&amp;", above, is $0")</f>
        <v>Skip This Line because the amount on Line 1, above, is $0</v>
      </c>
      <c r="C98" s="383"/>
      <c r="D98" s="383"/>
      <c r="E98" s="383"/>
      <c r="F98" s="370"/>
      <c r="G98" s="159">
        <v>0</v>
      </c>
      <c r="H98" s="160"/>
      <c r="I98" s="65"/>
      <c r="L98" s="161" t="str">
        <f>IF(N48&lt;&gt;0,"◄","")</f>
        <v/>
      </c>
    </row>
    <row r="99" spans="1:12" ht="24.5" customHeight="1" thickBot="1">
      <c r="A99" s="162">
        <f t="shared" si="5"/>
        <v>3</v>
      </c>
      <c r="B99" s="384" t="str">
        <f>IF(G97&lt;&gt;0,"Amount of Line "&amp;TEXT(A97,"0")&amp;" that was for premium written elsewhere in Arizona (Line "&amp;TEXT(A97,"0")&amp;" minus Line "&amp;TEXT(A98,"0")&amp;")","Skip This Line because the amount on Line "&amp;TEXT(A97,"0")&amp;", above, is $0")</f>
        <v>Skip This Line because the amount on Line 1, above, is $0</v>
      </c>
      <c r="C99" s="384"/>
      <c r="D99" s="384"/>
      <c r="E99" s="384"/>
      <c r="F99" s="385"/>
      <c r="G99" s="163">
        <f>+G97-ROUND(G98,0)</f>
        <v>0</v>
      </c>
      <c r="H99" s="69"/>
      <c r="I99" s="65"/>
      <c r="L99" s="164" t="s">
        <v>123</v>
      </c>
    </row>
    <row r="100" spans="1:12">
      <c r="A100" s="155">
        <f t="shared" si="5"/>
        <v>4</v>
      </c>
      <c r="B100" s="387" t="s">
        <v>124</v>
      </c>
      <c r="C100" s="387"/>
      <c r="D100" s="387"/>
      <c r="E100" s="387"/>
      <c r="F100" s="396"/>
      <c r="G100" s="165">
        <f>ROUND(+J47,0)</f>
        <v>0</v>
      </c>
      <c r="H100" s="69"/>
      <c r="I100" s="65"/>
      <c r="L100" s="166" t="s">
        <v>125</v>
      </c>
    </row>
    <row r="101" spans="1:12">
      <c r="A101" s="158">
        <f t="shared" si="5"/>
        <v>5</v>
      </c>
      <c r="B101" s="383" t="str">
        <f>IF(G100&lt;&gt;0,"How much of Line "&amp;TEXT(A100,"0")&amp;" was for property in Carefree?","Skip This Line because the amount on Line "&amp;TEXT(A100,"0")&amp;", above, is $0")</f>
        <v>Skip This Line because the amount on Line 4, above, is $0</v>
      </c>
      <c r="C101" s="383"/>
      <c r="D101" s="383"/>
      <c r="E101" s="383"/>
      <c r="F101" s="370"/>
      <c r="G101" s="159">
        <v>0</v>
      </c>
      <c r="H101" s="160"/>
      <c r="I101" s="65"/>
      <c r="L101" s="161" t="str">
        <f>IF(N49&lt;&gt;0,"◄","")</f>
        <v/>
      </c>
    </row>
    <row r="102" spans="1:12" ht="25" customHeight="1" thickBot="1">
      <c r="A102" s="162">
        <f t="shared" si="5"/>
        <v>6</v>
      </c>
      <c r="B102" s="384" t="str">
        <f>IF(G100&lt;&gt;0,"Amount of Line "&amp;TEXT(A100,"0")&amp;" that was for premium written elsewhere in Arizona (Line "&amp;TEXT(A100,"0")&amp;" minus Line "&amp;TEXT(A101,"0")&amp;")","Skip This Line because the amount on Line "&amp;TEXT(A100,"0")&amp;", above, is $0")</f>
        <v>Skip This Line because the amount on Line 4, above, is $0</v>
      </c>
      <c r="C102" s="384"/>
      <c r="D102" s="384"/>
      <c r="E102" s="384"/>
      <c r="F102" s="385"/>
      <c r="G102" s="163">
        <f>+G100-ROUND(G101,0)</f>
        <v>0</v>
      </c>
      <c r="H102" s="69"/>
      <c r="I102" s="65"/>
      <c r="L102" s="166" t="s">
        <v>126</v>
      </c>
    </row>
    <row r="103" spans="1:12">
      <c r="A103" s="167">
        <f t="shared" si="5"/>
        <v>7</v>
      </c>
      <c r="B103" s="381" t="s">
        <v>127</v>
      </c>
      <c r="C103" s="381"/>
      <c r="D103" s="381"/>
      <c r="E103" s="381"/>
      <c r="F103" s="382"/>
      <c r="G103" s="156">
        <f>ROUND(+J52,0)</f>
        <v>0</v>
      </c>
      <c r="H103" s="69"/>
      <c r="I103" s="65"/>
      <c r="L103" s="168" t="s">
        <v>128</v>
      </c>
    </row>
    <row r="104" spans="1:12">
      <c r="A104" s="158">
        <f t="shared" si="5"/>
        <v>8</v>
      </c>
      <c r="B104" s="383" t="str">
        <f>IF(G103&lt;&gt;0,"How much of Line "&amp;TEXT(A103,"0")&amp;" was for property in Carefree?","Skip This Line because the amount on Line "&amp;TEXT(A103,"0")&amp;", above, is $0")</f>
        <v>Skip This Line because the amount on Line 7, above, is $0</v>
      </c>
      <c r="C104" s="383"/>
      <c r="D104" s="383"/>
      <c r="E104" s="383"/>
      <c r="F104" s="370"/>
      <c r="G104" s="159">
        <v>0</v>
      </c>
      <c r="H104" s="160"/>
      <c r="I104" s="65"/>
      <c r="L104" s="161" t="str">
        <f>IF(N54&lt;&gt;0,"◄","")</f>
        <v/>
      </c>
    </row>
    <row r="105" spans="1:12" ht="30" customHeight="1" thickBot="1">
      <c r="A105" s="162">
        <f t="shared" si="5"/>
        <v>9</v>
      </c>
      <c r="B105" s="384" t="str">
        <f>IF(G103&lt;&gt;0,"Amount of Line "&amp;TEXT(A103,"0")&amp;" that was for premium written elsewhere in Arizona (Line "&amp;TEXT(A103,"0")&amp;" minus Line "&amp;TEXT(A104,"0")&amp;")","Skip This Line because the amount on Line "&amp;TEXT(A103,"0")&amp;", above, is $0")</f>
        <v>Skip This Line because the amount on Line 7, above, is $0</v>
      </c>
      <c r="C105" s="384"/>
      <c r="D105" s="384"/>
      <c r="E105" s="384"/>
      <c r="F105" s="385"/>
      <c r="G105" s="163">
        <f>+G103-ROUND(G104,0)</f>
        <v>0</v>
      </c>
      <c r="H105" s="69"/>
      <c r="I105" s="65"/>
      <c r="L105" s="164" t="s">
        <v>129</v>
      </c>
    </row>
    <row r="106" spans="1:12">
      <c r="A106" s="167">
        <f t="shared" si="5"/>
        <v>10</v>
      </c>
      <c r="B106" s="381" t="s">
        <v>130</v>
      </c>
      <c r="C106" s="381"/>
      <c r="D106" s="381"/>
      <c r="E106" s="381"/>
      <c r="F106" s="382"/>
      <c r="G106" s="156">
        <f>ROUND(+J53,0)</f>
        <v>0</v>
      </c>
      <c r="H106" s="69"/>
      <c r="I106" s="65"/>
      <c r="L106" s="169" t="s">
        <v>131</v>
      </c>
    </row>
    <row r="107" spans="1:12">
      <c r="A107" s="158">
        <f t="shared" si="5"/>
        <v>11</v>
      </c>
      <c r="B107" s="383" t="str">
        <f>IF(G106&lt;&gt;0,"How much of Line "&amp;TEXT(A106,"0")&amp;" was for property in Carefree?","Skip This Line because the amount on Line "&amp;TEXT(A106,"0")&amp;", above, is $0")</f>
        <v>Skip This Line because the amount on Line 10, above, is $0</v>
      </c>
      <c r="C107" s="383"/>
      <c r="D107" s="383"/>
      <c r="E107" s="383"/>
      <c r="F107" s="370"/>
      <c r="G107" s="159">
        <v>0</v>
      </c>
      <c r="H107" s="160"/>
      <c r="I107" s="65"/>
      <c r="L107" s="161" t="str">
        <f>IF(N55&lt;&gt;0,"◄","")</f>
        <v/>
      </c>
    </row>
    <row r="108" spans="1:12" ht="29" customHeight="1" thickBot="1">
      <c r="A108" s="162">
        <f t="shared" si="5"/>
        <v>12</v>
      </c>
      <c r="B108" s="384" t="str">
        <f>IF(G106&lt;&gt;0,"Amount of Line "&amp;TEXT(A106,"0")&amp;" that was for premium written elsewhere in Arizona (Line "&amp;TEXT(A106,"0")&amp;" minus Line "&amp;TEXT(A107,"0")&amp;")","Skip This Line because the amount on Line "&amp;TEXT(A106,"0")&amp;", above, is $0")</f>
        <v>Skip This Line because the amount on Line 10, above, is $0</v>
      </c>
      <c r="C108" s="384"/>
      <c r="D108" s="384"/>
      <c r="E108" s="384"/>
      <c r="F108" s="385"/>
      <c r="G108" s="163">
        <f>+G106-ROUND(G107,0)</f>
        <v>0</v>
      </c>
      <c r="H108" s="69"/>
      <c r="I108" s="65"/>
      <c r="L108" s="164" t="s">
        <v>132</v>
      </c>
    </row>
    <row r="109" spans="1:12">
      <c r="A109" s="167">
        <f t="shared" si="5"/>
        <v>13</v>
      </c>
      <c r="B109" s="381" t="s">
        <v>133</v>
      </c>
      <c r="C109" s="381"/>
      <c r="D109" s="381"/>
      <c r="E109" s="381"/>
      <c r="F109" s="382"/>
      <c r="G109" s="156">
        <f>ROUND(+J54,0)</f>
        <v>0</v>
      </c>
      <c r="H109" s="69"/>
      <c r="I109" s="65"/>
      <c r="L109" s="169" t="s">
        <v>134</v>
      </c>
    </row>
    <row r="110" spans="1:12">
      <c r="A110" s="158">
        <f t="shared" si="5"/>
        <v>14</v>
      </c>
      <c r="B110" s="383" t="str">
        <f>IF(G109&lt;&gt;0,"How much of Line "&amp;TEXT(A109,"0")&amp;" was for property in Carefree?","Skip This Line because the amount on Line "&amp;TEXT(A109,"0")&amp;", above, is $0")</f>
        <v>Skip This Line because the amount on Line 13, above, is $0</v>
      </c>
      <c r="C110" s="383"/>
      <c r="D110" s="383"/>
      <c r="E110" s="383"/>
      <c r="F110" s="370"/>
      <c r="G110" s="159">
        <v>0</v>
      </c>
      <c r="H110" s="160"/>
      <c r="I110" s="65"/>
      <c r="L110" s="170" t="str">
        <f>IF(N56&lt;&gt;0,"◄","")</f>
        <v/>
      </c>
    </row>
    <row r="111" spans="1:12" ht="30" customHeight="1" thickBot="1">
      <c r="A111" s="162">
        <f t="shared" si="5"/>
        <v>15</v>
      </c>
      <c r="B111" s="384" t="str">
        <f>IF(G109&lt;&gt;0,"Amount of Line "&amp;TEXT(A109,"0")&amp;" that was for premium written elsewhere in Arizona (Line "&amp;TEXT(A109,"0")&amp;" minus Line "&amp;TEXT(A110,"0")&amp;")","Skip This Line because the amount on Line "&amp;TEXT(A109,"0")&amp;", above, is $0")</f>
        <v>Skip This Line because the amount on Line 13, above, is $0</v>
      </c>
      <c r="C111" s="384"/>
      <c r="D111" s="384"/>
      <c r="E111" s="384"/>
      <c r="F111" s="385"/>
      <c r="G111" s="163">
        <f>+G109-ROUND(G110,0)</f>
        <v>0</v>
      </c>
      <c r="H111" s="69"/>
      <c r="I111" s="65"/>
      <c r="L111" s="70" t="s">
        <v>135</v>
      </c>
    </row>
    <row r="112" spans="1:12" ht="30.5" customHeight="1">
      <c r="A112" s="167">
        <f t="shared" si="5"/>
        <v>16</v>
      </c>
      <c r="B112" s="369" t="str">
        <f>"Total taxable amount for Carefree, subject to "&amp;TEXT(HLOOKUP($K$3,$AA$244:$AZ$249,5,FALSE),"0.00%")&amp;" fire tax (sum of "&amp;TEXT($AA$251,"0%")&amp;" of Line "&amp;$A$98&amp;", "&amp;TEXT($AA$252,"0%")&amp;" of Line "&amp;$A$101&amp;", "&amp; TEXT($AA$253,"0%")&amp;" of Line "&amp;$A$104&amp;", "&amp;TEXT($AA$254,"0%") &amp;" of Line "&amp;$A$107&amp;", and "&amp;TEXT($AA$255,"0%")&amp;" of Line "&amp;$A$110&amp;")"</f>
        <v>Total taxable amount for Carefree, subject to 0.66% fire tax (sum of 100% of Line 2, 20% of Line 5, 25% of Line 8, 35% of Line 11, and 40% of Line 14)</v>
      </c>
      <c r="C112" s="369"/>
      <c r="D112" s="369"/>
      <c r="E112" s="369"/>
      <c r="F112" s="370"/>
      <c r="G112" s="171">
        <f>ROUND(+ROUND(G98*HLOOKUP($K$3,Z$244:AZ$255,8,FALSE),2)+ROUND(HLOOKUP($K$3,Z$244:AZ$255,9,FALSE)*G101,2)+ROUND(HLOOKUP($K$3,Z$244:AZ$255,10,FALSE)*G104,2)+ROUND(HLOOKUP($K$3,Z$244:AZ$255,11,FALSE)*G107,2)+ROUND(HLOOKUP($K$3,Z$244:AZ$255,12,FALSE)*G110,2),0)</f>
        <v>0</v>
      </c>
      <c r="H112" s="65"/>
      <c r="I112" s="65"/>
      <c r="L112" s="66" t="s">
        <v>136</v>
      </c>
    </row>
    <row r="113" spans="1:13">
      <c r="A113" s="172">
        <f t="shared" si="5"/>
        <v>17</v>
      </c>
      <c r="B113" s="369" t="str">
        <f>"Fire insurance tax for Carefree ("&amp;TEXT(HLOOKUP($K$3,$AA$244:$AZ$249,5,FALSE),"0.00%")&amp;")"</f>
        <v>Fire insurance tax for Carefree (0.66%)</v>
      </c>
      <c r="C113" s="369"/>
      <c r="D113" s="369"/>
      <c r="E113" s="369"/>
      <c r="F113" s="369"/>
      <c r="G113" s="369"/>
      <c r="H113" s="395"/>
      <c r="I113" s="379">
        <f>+ROUND((HLOOKUP($K$3,$AA$244:$AZ$249,5,FALSE)*G112),2)</f>
        <v>0</v>
      </c>
      <c r="J113" s="380"/>
      <c r="K113" s="65"/>
      <c r="L113" s="66" t="s">
        <v>137</v>
      </c>
    </row>
    <row r="114" spans="1:13" ht="29.5" customHeight="1">
      <c r="A114" s="167">
        <f t="shared" si="5"/>
        <v>18</v>
      </c>
      <c r="B114" s="369" t="str">
        <f>"Total taxable amount outside Carefree, subject to "&amp;TEXT(HLOOKUP($K$3,$AA$244:$AZ$249,4,FALSE),"0.00%")&amp;" fire tax (sum of "&amp;TEXT($AA$251,"0%")&amp;" of Line "&amp;$A$99&amp;", "&amp;TEXT($AA$252,"0%")&amp;" of Line "&amp;$A$102&amp;", "&amp; TEXT($AA$253,"0%")&amp;" of Line "&amp;$A$105&amp;", "&amp;TEXT($AA$254,"0%") &amp;" of Line "&amp;$A$108&amp;", and "&amp;TEXT($AA$255,"0%")&amp;" of Line "&amp;$A$111&amp;")"</f>
        <v>Total taxable amount outside Carefree, subject to 2.20% fire tax (sum of 100% of Line 3, 20% of Line 6, 25% of Line 9, 35% of Line 12, and 40% of Line 15)</v>
      </c>
      <c r="C114" s="369"/>
      <c r="D114" s="369"/>
      <c r="E114" s="369"/>
      <c r="F114" s="370"/>
      <c r="G114" s="156">
        <f>ROUND(+ROUND(G99*HLOOKUP($K$3,Z$244:AZ$255,8,FALSE),2)+ROUND(HLOOKUP($K$3,Z$244:AZ$255,9,FALSE)*G102,2)+ROUND(HLOOKUP($K$3,Z$244:AZ$255,10,FALSE)*G105,2)+ROUND(HLOOKUP($K$3,Z$244:AZ$255,11,FALSE)*G108,2)+ROUND(HLOOKUP($K$3,Z$244:AZ$255,12,FALSE)*G111,2),0)</f>
        <v>0</v>
      </c>
      <c r="H114" s="65"/>
      <c r="I114" s="65"/>
      <c r="L114" s="66" t="s">
        <v>138</v>
      </c>
    </row>
    <row r="115" spans="1:13">
      <c r="A115" s="167">
        <f t="shared" si="5"/>
        <v>19</v>
      </c>
      <c r="B115" s="369" t="str">
        <f>"Fire insurance tax for outside Carefree ("&amp;TEXT(HLOOKUP($K$3,$AA$244:$AZ$249,4,FALSE),"0.00%")&amp;")"</f>
        <v>Fire insurance tax for outside Carefree (2.20%)</v>
      </c>
      <c r="C115" s="369"/>
      <c r="D115" s="369"/>
      <c r="E115" s="369"/>
      <c r="F115" s="369"/>
      <c r="G115" s="369"/>
      <c r="H115" s="386"/>
      <c r="I115" s="379">
        <f>+ROUND((HLOOKUP($K$3,$AA$244:$AZ$249,4,FALSE)*G114),2)</f>
        <v>0</v>
      </c>
      <c r="J115" s="380"/>
      <c r="K115" s="65"/>
      <c r="L115" s="66" t="s">
        <v>139</v>
      </c>
    </row>
    <row r="116" spans="1:13">
      <c r="A116" s="167">
        <f t="shared" si="5"/>
        <v>20</v>
      </c>
      <c r="B116" s="369" t="str">
        <f>"Fire Insurance Tax (Sum of Lines "&amp;A113&amp;" and "&amp;A115&amp;")"</f>
        <v>Fire Insurance Tax (Sum of Lines 17 and 19)</v>
      </c>
      <c r="C116" s="369"/>
      <c r="D116" s="369"/>
      <c r="E116" s="369"/>
      <c r="F116" s="369"/>
      <c r="G116" s="369"/>
      <c r="H116" s="370"/>
      <c r="I116" s="379">
        <f>+I115+I113</f>
        <v>0</v>
      </c>
      <c r="J116" s="380"/>
      <c r="K116" s="65"/>
      <c r="L116" s="66" t="s">
        <v>282</v>
      </c>
      <c r="M116" s="24">
        <f>+_FT</f>
        <v>0</v>
      </c>
    </row>
    <row r="117" spans="1:13" ht="15.75" hidden="1" customHeight="1">
      <c r="A117" s="173"/>
      <c r="B117" s="174"/>
      <c r="C117" s="174"/>
      <c r="D117" s="174"/>
      <c r="E117" s="174"/>
      <c r="F117" s="174"/>
      <c r="G117" s="174"/>
      <c r="H117" s="50"/>
      <c r="K117" s="65"/>
    </row>
    <row r="118" spans="1:13" ht="15.75" hidden="1" customHeight="1">
      <c r="A118" s="173"/>
      <c r="B118" s="174"/>
      <c r="C118" s="174"/>
      <c r="D118" s="174"/>
      <c r="E118" s="174"/>
      <c r="F118" s="174"/>
      <c r="G118" s="174"/>
      <c r="H118" s="50"/>
      <c r="K118" s="65"/>
    </row>
    <row r="119" spans="1:13" ht="15.75" customHeight="1">
      <c r="J119" s="99"/>
      <c r="K119" s="100" t="str">
        <f>+$K$42</f>
        <v>2024 |  (</v>
      </c>
    </row>
    <row r="120" spans="1:13" ht="8" customHeight="1">
      <c r="A120" s="173"/>
      <c r="B120" s="174"/>
      <c r="C120" s="175"/>
      <c r="D120" s="175"/>
      <c r="E120" s="175"/>
      <c r="F120" s="175"/>
      <c r="G120" s="176"/>
      <c r="H120" s="50"/>
      <c r="I120" s="50"/>
      <c r="K120" s="65"/>
    </row>
    <row r="121" spans="1:13" ht="8" customHeight="1">
      <c r="A121" s="40"/>
      <c r="B121" s="48"/>
      <c r="C121" s="41"/>
      <c r="D121" s="41"/>
      <c r="E121" s="41"/>
      <c r="F121" s="41"/>
      <c r="G121" s="42"/>
      <c r="H121" s="41"/>
      <c r="I121" s="41"/>
      <c r="J121" s="41"/>
      <c r="K121" s="41"/>
    </row>
    <row r="122" spans="1:13" ht="6" customHeight="1">
      <c r="A122" s="147"/>
      <c r="B122" s="148"/>
      <c r="C122" s="149"/>
      <c r="D122" s="149"/>
      <c r="E122" s="149"/>
      <c r="F122" s="149"/>
      <c r="G122" s="150"/>
      <c r="H122" s="50"/>
      <c r="I122" s="50"/>
      <c r="J122" s="72"/>
      <c r="K122" s="65"/>
    </row>
    <row r="123" spans="1:13">
      <c r="A123" s="177" t="s">
        <v>140</v>
      </c>
      <c r="B123" s="178"/>
      <c r="C123" s="179"/>
      <c r="D123" s="179"/>
      <c r="E123" s="179"/>
      <c r="F123" s="179"/>
      <c r="G123" s="154"/>
      <c r="H123" s="153"/>
      <c r="I123" s="153"/>
      <c r="J123" s="153"/>
      <c r="K123" s="153"/>
    </row>
    <row r="124" spans="1:13" ht="13.5" customHeight="1">
      <c r="A124" s="155">
        <f>+A116+1</f>
        <v>21</v>
      </c>
      <c r="B124" s="373" t="s">
        <v>572</v>
      </c>
      <c r="C124" s="374"/>
      <c r="D124" s="374"/>
      <c r="E124" s="374"/>
      <c r="F124" s="375"/>
      <c r="G124" s="181">
        <f>+J84-G112-G114</f>
        <v>0</v>
      </c>
      <c r="H124" s="65"/>
      <c r="I124" s="65"/>
      <c r="L124" s="66" t="s">
        <v>141</v>
      </c>
    </row>
    <row r="125" spans="1:13" ht="15" customHeight="1">
      <c r="A125" s="155">
        <f>+A124+1</f>
        <v>22</v>
      </c>
      <c r="B125" s="381" t="str">
        <f>"Property/Casualty Insurance Tax ("&amp;TEXT(HLOOKUP($K$3,$AA$244:$AZ$249,3,FALSE),"0.00%")&amp;")"</f>
        <v>Property/Casualty Insurance Tax (1.70%)</v>
      </c>
      <c r="C125" s="381"/>
      <c r="D125" s="381"/>
      <c r="E125" s="381"/>
      <c r="F125" s="381"/>
      <c r="G125" s="387"/>
      <c r="H125" s="388"/>
      <c r="I125" s="371">
        <f>+ROUND((HLOOKUP($K$3,$AA$244:$AZ$249,3,FALSE)*$G$124),2)</f>
        <v>0</v>
      </c>
      <c r="J125" s="372"/>
      <c r="K125" s="65"/>
      <c r="L125" s="66" t="s">
        <v>142</v>
      </c>
    </row>
    <row r="126" spans="1:13">
      <c r="A126" s="173"/>
      <c r="B126" s="174"/>
      <c r="C126" s="175"/>
      <c r="D126" s="175"/>
      <c r="E126" s="175"/>
      <c r="F126" s="175"/>
      <c r="G126" s="176"/>
      <c r="H126" s="50"/>
      <c r="I126" s="50"/>
      <c r="J126" s="72"/>
      <c r="K126" s="65"/>
    </row>
    <row r="127" spans="1:13" ht="18.75" customHeight="1">
      <c r="A127" s="177" t="s">
        <v>143</v>
      </c>
      <c r="B127" s="178"/>
      <c r="C127" s="179"/>
      <c r="D127" s="179"/>
      <c r="E127" s="179"/>
      <c r="F127" s="179"/>
      <c r="G127" s="154"/>
      <c r="H127" s="153"/>
      <c r="I127" s="153"/>
      <c r="J127" s="153"/>
      <c r="K127" s="153"/>
    </row>
    <row r="128" spans="1:13" ht="13.5" customHeight="1">
      <c r="A128" s="182">
        <f>+A125+1</f>
        <v>23</v>
      </c>
      <c r="B128" s="376" t="s">
        <v>566</v>
      </c>
      <c r="C128" s="377"/>
      <c r="D128" s="377"/>
      <c r="E128" s="377"/>
      <c r="F128" s="378"/>
      <c r="G128" s="181">
        <f>+SUM(J69:K74)</f>
        <v>0</v>
      </c>
      <c r="H128" s="65"/>
      <c r="I128" s="65"/>
      <c r="L128" s="66" t="s">
        <v>144</v>
      </c>
    </row>
    <row r="129" spans="1:13" ht="15" customHeight="1">
      <c r="A129" s="167">
        <f>+A128+1</f>
        <v>24</v>
      </c>
      <c r="B129" s="381" t="str">
        <f>"Additional Vehicle Insurance Tax ("&amp;TEXT(HLOOKUP($K$3,$AA$244:$AZ$249,6,FALSE),"0.0000%")&amp;")"</f>
        <v>Additional Vehicle Insurance Tax (0.4312%)</v>
      </c>
      <c r="C129" s="381"/>
      <c r="D129" s="381"/>
      <c r="E129" s="381"/>
      <c r="F129" s="381"/>
      <c r="G129" s="387"/>
      <c r="H129" s="388"/>
      <c r="I129" s="371">
        <f>+ROUND((HLOOKUP($K$3,$AA$244:$AZ$249,6,FALSE)*G128),2)</f>
        <v>0</v>
      </c>
      <c r="J129" s="372"/>
      <c r="K129" s="65"/>
      <c r="L129" s="66" t="s">
        <v>192</v>
      </c>
      <c r="M129" s="24">
        <f>+_VT</f>
        <v>0</v>
      </c>
    </row>
    <row r="130" spans="1:13" ht="16" thickBot="1">
      <c r="A130" s="173"/>
      <c r="B130" s="174"/>
      <c r="C130" s="174"/>
      <c r="D130" s="174"/>
      <c r="E130" s="174"/>
      <c r="F130" s="174"/>
      <c r="G130" s="174"/>
      <c r="I130" s="184"/>
      <c r="J130" s="185"/>
      <c r="K130" s="65"/>
    </row>
    <row r="131" spans="1:13" ht="15.75" customHeight="1">
      <c r="A131" s="439">
        <f>A129+1</f>
        <v>25</v>
      </c>
      <c r="B131" s="451" t="str">
        <f>"Total Gross Premium Tax (Sum of Lines "&amp;A116&amp;", "&amp;A125&amp;", "&amp;A129&amp;")"</f>
        <v>Total Gross Premium Tax (Sum of Lines 20, 22, 24)</v>
      </c>
      <c r="C131" s="452"/>
      <c r="D131" s="452"/>
      <c r="E131" s="452"/>
      <c r="F131" s="452"/>
      <c r="G131" s="452"/>
      <c r="H131" s="44"/>
      <c r="I131" s="446">
        <f>+I129+I125+I116</f>
        <v>0</v>
      </c>
      <c r="J131" s="447"/>
      <c r="K131" s="450"/>
    </row>
    <row r="132" spans="1:13" ht="15.75" customHeight="1" thickBot="1">
      <c r="A132" s="440"/>
      <c r="B132" s="186"/>
      <c r="C132" s="186"/>
      <c r="D132" s="186"/>
      <c r="E132" s="186"/>
      <c r="F132" s="186"/>
      <c r="G132" s="186"/>
      <c r="H132" s="187" t="s">
        <v>147</v>
      </c>
      <c r="I132" s="448"/>
      <c r="J132" s="449"/>
      <c r="K132" s="440"/>
    </row>
    <row r="134" spans="1:13" ht="16.5" customHeight="1">
      <c r="A134" s="456" t="s">
        <v>524</v>
      </c>
      <c r="B134" s="457"/>
      <c r="C134" s="457"/>
      <c r="D134" s="457"/>
      <c r="E134" s="457"/>
      <c r="F134" s="457"/>
      <c r="G134" s="457"/>
      <c r="H134" s="457"/>
      <c r="I134" s="457"/>
      <c r="J134" s="457"/>
      <c r="K134" s="457"/>
    </row>
    <row r="135" spans="1:13" ht="25.5" customHeight="1">
      <c r="A135" s="399" t="s">
        <v>535</v>
      </c>
      <c r="B135" s="374"/>
      <c r="C135" s="374"/>
      <c r="D135" s="374"/>
      <c r="E135" s="374"/>
      <c r="F135" s="374"/>
      <c r="G135" s="374"/>
      <c r="H135" s="374"/>
      <c r="I135" s="374"/>
      <c r="J135" s="374"/>
      <c r="K135" s="374"/>
    </row>
    <row r="136" spans="1:13" ht="21.75" customHeight="1">
      <c r="A136" s="188" t="s">
        <v>13</v>
      </c>
      <c r="B136" s="189"/>
      <c r="C136" s="189"/>
      <c r="D136" s="189"/>
      <c r="E136" s="188" t="s">
        <v>14</v>
      </c>
      <c r="F136" s="189"/>
      <c r="G136" s="190"/>
      <c r="H136" s="191"/>
      <c r="I136" s="192"/>
      <c r="J136" s="189" t="s">
        <v>15</v>
      </c>
      <c r="K136" s="191"/>
    </row>
    <row r="137" spans="1:13" ht="20.25" customHeight="1">
      <c r="A137" s="421"/>
      <c r="B137" s="422"/>
      <c r="C137" s="422"/>
      <c r="D137" s="423"/>
      <c r="E137" s="421"/>
      <c r="F137" s="422"/>
      <c r="G137" s="422"/>
      <c r="H137" s="422"/>
      <c r="I137" s="423"/>
      <c r="J137" s="431"/>
      <c r="K137" s="432"/>
    </row>
    <row r="138" spans="1:13">
      <c r="A138" s="188" t="s">
        <v>16</v>
      </c>
      <c r="B138" s="189"/>
      <c r="C138" s="189"/>
      <c r="D138" s="189"/>
      <c r="E138" s="193"/>
      <c r="F138" s="194"/>
      <c r="G138" s="327" t="s">
        <v>10</v>
      </c>
      <c r="H138" s="411"/>
      <c r="I138" s="194" t="s">
        <v>11</v>
      </c>
      <c r="J138" s="194" t="s">
        <v>12</v>
      </c>
      <c r="K138" s="194"/>
    </row>
    <row r="139" spans="1:13" ht="22.5" customHeight="1">
      <c r="A139" s="408"/>
      <c r="B139" s="409"/>
      <c r="C139" s="409"/>
      <c r="D139" s="409"/>
      <c r="E139" s="409"/>
      <c r="F139" s="410"/>
      <c r="G139" s="408"/>
      <c r="H139" s="410"/>
      <c r="I139" s="307"/>
      <c r="J139" s="419"/>
      <c r="K139" s="420"/>
    </row>
    <row r="140" spans="1:13">
      <c r="A140" s="445" t="s">
        <v>573</v>
      </c>
      <c r="B140" s="445"/>
      <c r="C140" s="445"/>
      <c r="D140" s="445"/>
      <c r="E140" s="445"/>
      <c r="F140" s="445"/>
      <c r="G140" s="445"/>
      <c r="H140" s="445"/>
      <c r="I140" s="445"/>
      <c r="J140" s="445"/>
      <c r="K140" s="445"/>
    </row>
    <row r="141" spans="1:13" ht="22.5" customHeight="1">
      <c r="A141" s="445"/>
      <c r="B141" s="445"/>
      <c r="C141" s="445"/>
      <c r="D141" s="445"/>
      <c r="E141" s="445"/>
      <c r="F141" s="445"/>
      <c r="G141" s="445"/>
      <c r="H141" s="445"/>
      <c r="I141" s="445"/>
      <c r="J141" s="445"/>
      <c r="K141" s="445"/>
    </row>
    <row r="142" spans="1:13" ht="21" customHeight="1">
      <c r="A142" s="313"/>
      <c r="B142" s="313"/>
      <c r="C142" s="313"/>
      <c r="D142" s="313"/>
      <c r="E142" s="313"/>
      <c r="F142" s="313"/>
      <c r="G142" s="313"/>
      <c r="H142" s="313"/>
      <c r="I142" s="313"/>
      <c r="J142" s="313"/>
      <c r="K142" s="313"/>
    </row>
    <row r="144" spans="1:13" ht="15" customHeight="1"/>
    <row r="145" spans="1:19" ht="15" customHeight="1"/>
    <row r="146" spans="1:19" ht="15" customHeight="1"/>
    <row r="147" spans="1:19" ht="15" customHeight="1">
      <c r="A147" s="313"/>
      <c r="B147" s="313"/>
      <c r="C147" s="313"/>
      <c r="D147" s="313"/>
      <c r="E147" s="313"/>
      <c r="F147" s="313"/>
      <c r="G147" s="313"/>
      <c r="H147" s="313"/>
      <c r="I147" s="313"/>
      <c r="J147" s="313"/>
      <c r="K147" s="313"/>
      <c r="L147" s="313"/>
      <c r="M147" s="313"/>
    </row>
    <row r="148" spans="1:19" ht="15" customHeight="1">
      <c r="G148" s="20"/>
    </row>
    <row r="149" spans="1:19" ht="15" customHeight="1">
      <c r="G149" s="20"/>
    </row>
    <row r="150" spans="1:19" ht="15" customHeight="1">
      <c r="G150" s="20"/>
    </row>
    <row r="151" spans="1:19" ht="15" customHeight="1">
      <c r="G151" s="20"/>
    </row>
    <row r="152" spans="1:19" ht="15" customHeight="1">
      <c r="G152" s="20"/>
    </row>
    <row r="153" spans="1:19" ht="15" customHeight="1">
      <c r="G153" s="20"/>
    </row>
    <row r="154" spans="1:19" ht="15" customHeight="1">
      <c r="G154" s="20"/>
    </row>
    <row r="155" spans="1:19" ht="15" customHeight="1">
      <c r="G155" s="20"/>
    </row>
    <row r="156" spans="1:19" ht="15" customHeight="1">
      <c r="G156" s="20"/>
      <c r="S156" s="20" t="s">
        <v>148</v>
      </c>
    </row>
    <row r="157" spans="1:19">
      <c r="G157" s="20"/>
      <c r="S157" s="20" t="s">
        <v>125</v>
      </c>
    </row>
    <row r="158" spans="1:19">
      <c r="G158" s="20"/>
      <c r="S158" s="20" t="s">
        <v>149</v>
      </c>
    </row>
    <row r="159" spans="1:19">
      <c r="G159" s="20"/>
      <c r="S159" s="20" t="s">
        <v>150</v>
      </c>
    </row>
    <row r="160" spans="1:19">
      <c r="G160" s="20"/>
      <c r="S160" s="20" t="s">
        <v>151</v>
      </c>
    </row>
    <row r="161" spans="7:19">
      <c r="G161" s="20"/>
      <c r="S161" s="20" t="s">
        <v>152</v>
      </c>
    </row>
    <row r="162" spans="7:19">
      <c r="G162" s="20"/>
      <c r="S162" s="20" t="s">
        <v>153</v>
      </c>
    </row>
    <row r="163" spans="7:19">
      <c r="G163" s="20"/>
      <c r="S163" s="20" t="s">
        <v>154</v>
      </c>
    </row>
    <row r="164" spans="7:19">
      <c r="G164" s="20"/>
      <c r="S164" s="20" t="s">
        <v>155</v>
      </c>
    </row>
    <row r="165" spans="7:19">
      <c r="G165" s="20"/>
      <c r="S165" s="20" t="s">
        <v>156</v>
      </c>
    </row>
    <row r="166" spans="7:19">
      <c r="G166" s="20"/>
      <c r="S166" s="20" t="s">
        <v>157</v>
      </c>
    </row>
    <row r="167" spans="7:19">
      <c r="G167" s="20"/>
      <c r="S167" s="20" t="s">
        <v>158</v>
      </c>
    </row>
    <row r="168" spans="7:19">
      <c r="G168" s="20"/>
      <c r="S168" s="20" t="s">
        <v>159</v>
      </c>
    </row>
    <row r="169" spans="7:19">
      <c r="G169" s="20"/>
      <c r="S169" s="20" t="s">
        <v>160</v>
      </c>
    </row>
    <row r="170" spans="7:19">
      <c r="G170" s="20"/>
      <c r="S170" s="20" t="s">
        <v>161</v>
      </c>
    </row>
    <row r="171" spans="7:19">
      <c r="G171" s="20"/>
      <c r="S171" s="20" t="s">
        <v>162</v>
      </c>
    </row>
    <row r="172" spans="7:19">
      <c r="G172" s="20"/>
      <c r="S172" s="20" t="s">
        <v>163</v>
      </c>
    </row>
    <row r="173" spans="7:19">
      <c r="G173" s="20"/>
      <c r="S173" s="20" t="s">
        <v>164</v>
      </c>
    </row>
    <row r="174" spans="7:19">
      <c r="G174" s="20"/>
      <c r="S174" s="20" t="s">
        <v>165</v>
      </c>
    </row>
    <row r="175" spans="7:19">
      <c r="G175" s="20"/>
      <c r="S175" s="20" t="s">
        <v>166</v>
      </c>
    </row>
    <row r="176" spans="7:19">
      <c r="G176" s="20"/>
      <c r="S176" s="20" t="s">
        <v>167</v>
      </c>
    </row>
    <row r="177" spans="7:19">
      <c r="G177" s="20"/>
      <c r="S177" s="20" t="s">
        <v>168</v>
      </c>
    </row>
    <row r="178" spans="7:19">
      <c r="G178" s="20"/>
      <c r="S178" s="20" t="s">
        <v>169</v>
      </c>
    </row>
    <row r="179" spans="7:19">
      <c r="G179" s="20"/>
      <c r="S179" s="20" t="s">
        <v>170</v>
      </c>
    </row>
    <row r="180" spans="7:19">
      <c r="G180" s="20"/>
      <c r="S180" s="20" t="s">
        <v>171</v>
      </c>
    </row>
    <row r="181" spans="7:19">
      <c r="G181" s="20"/>
      <c r="S181" s="20" t="s">
        <v>172</v>
      </c>
    </row>
    <row r="182" spans="7:19">
      <c r="G182" s="20"/>
      <c r="S182" s="20" t="s">
        <v>173</v>
      </c>
    </row>
    <row r="183" spans="7:19">
      <c r="G183" s="20"/>
      <c r="S183" s="20" t="s">
        <v>174</v>
      </c>
    </row>
    <row r="184" spans="7:19">
      <c r="G184" s="20"/>
      <c r="S184" s="20" t="s">
        <v>175</v>
      </c>
    </row>
    <row r="185" spans="7:19">
      <c r="G185" s="20"/>
      <c r="S185" s="20" t="s">
        <v>176</v>
      </c>
    </row>
    <row r="186" spans="7:19">
      <c r="G186" s="20"/>
      <c r="S186" s="20" t="s">
        <v>177</v>
      </c>
    </row>
    <row r="187" spans="7:19">
      <c r="G187" s="20"/>
      <c r="S187" s="20" t="s">
        <v>178</v>
      </c>
    </row>
    <row r="188" spans="7:19">
      <c r="G188" s="20"/>
      <c r="S188" s="20" t="s">
        <v>179</v>
      </c>
    </row>
    <row r="189" spans="7:19">
      <c r="G189" s="20"/>
      <c r="S189" s="20" t="s">
        <v>180</v>
      </c>
    </row>
    <row r="190" spans="7:19">
      <c r="G190" s="20"/>
      <c r="S190" s="20" t="s">
        <v>181</v>
      </c>
    </row>
    <row r="191" spans="7:19">
      <c r="G191" s="20"/>
      <c r="S191" s="20" t="s">
        <v>182</v>
      </c>
    </row>
    <row r="192" spans="7:19">
      <c r="G192" s="20"/>
      <c r="S192" s="20" t="s">
        <v>183</v>
      </c>
    </row>
    <row r="193" spans="7:20">
      <c r="G193" s="20"/>
      <c r="S193" s="20" t="s">
        <v>184</v>
      </c>
    </row>
    <row r="194" spans="7:20">
      <c r="G194" s="20"/>
      <c r="S194" s="20" t="s">
        <v>185</v>
      </c>
    </row>
    <row r="195" spans="7:20">
      <c r="G195" s="20"/>
      <c r="S195" s="20" t="s">
        <v>186</v>
      </c>
    </row>
    <row r="196" spans="7:20">
      <c r="G196" s="20"/>
      <c r="S196" s="20" t="s">
        <v>187</v>
      </c>
    </row>
    <row r="197" spans="7:20">
      <c r="G197" s="20"/>
      <c r="S197" s="20" t="s">
        <v>188</v>
      </c>
    </row>
    <row r="198" spans="7:20">
      <c r="G198" s="20"/>
      <c r="S198" s="20" t="s">
        <v>189</v>
      </c>
    </row>
    <row r="199" spans="7:20">
      <c r="G199" s="20"/>
      <c r="S199" s="20" t="s">
        <v>190</v>
      </c>
    </row>
    <row r="200" spans="7:20">
      <c r="G200" s="20"/>
      <c r="S200" s="20" t="s">
        <v>191</v>
      </c>
    </row>
    <row r="201" spans="7:20">
      <c r="G201" s="20"/>
      <c r="S201" s="20" t="s">
        <v>192</v>
      </c>
    </row>
    <row r="202" spans="7:20">
      <c r="G202" s="20"/>
      <c r="S202" s="20" t="s">
        <v>193</v>
      </c>
    </row>
    <row r="203" spans="7:20">
      <c r="G203" s="20"/>
      <c r="S203" s="20" t="s">
        <v>194</v>
      </c>
    </row>
    <row r="204" spans="7:20">
      <c r="G204" s="20"/>
      <c r="S204" s="20" t="s">
        <v>195</v>
      </c>
    </row>
    <row r="205" spans="7:20">
      <c r="G205" s="20"/>
      <c r="S205" s="20" t="s">
        <v>196</v>
      </c>
    </row>
    <row r="206" spans="7:20">
      <c r="G206" s="20"/>
      <c r="S206" s="20" t="s">
        <v>197</v>
      </c>
    </row>
    <row r="207" spans="7:20">
      <c r="G207" s="20"/>
      <c r="S207" s="20" t="s">
        <v>198</v>
      </c>
    </row>
    <row r="208" spans="7:20">
      <c r="G208" s="20"/>
      <c r="T208" s="37" t="s">
        <v>293</v>
      </c>
    </row>
    <row r="209" spans="7:25" ht="20">
      <c r="G209" s="20"/>
      <c r="T209" s="196" t="s">
        <v>199</v>
      </c>
      <c r="U209" s="196" t="s">
        <v>200</v>
      </c>
      <c r="V209" s="196" t="s">
        <v>201</v>
      </c>
      <c r="W209" s="196" t="s">
        <v>202</v>
      </c>
    </row>
    <row r="210" spans="7:25" ht="80">
      <c r="G210" s="20"/>
      <c r="T210" s="197" t="s">
        <v>213</v>
      </c>
      <c r="U210" s="197" t="s">
        <v>214</v>
      </c>
      <c r="V210" s="20">
        <v>58</v>
      </c>
      <c r="W210" s="20">
        <v>28</v>
      </c>
    </row>
    <row r="211" spans="7:25" ht="120">
      <c r="G211" s="20"/>
      <c r="T211" s="197" t="s">
        <v>228</v>
      </c>
      <c r="U211" s="197" t="s">
        <v>229</v>
      </c>
      <c r="V211" s="20">
        <v>58</v>
      </c>
      <c r="W211" s="20">
        <v>28</v>
      </c>
    </row>
    <row r="212" spans="7:25" ht="140">
      <c r="G212" s="20"/>
      <c r="T212" s="197" t="s">
        <v>141</v>
      </c>
      <c r="U212" s="197" t="s">
        <v>234</v>
      </c>
      <c r="V212" s="20">
        <v>58</v>
      </c>
      <c r="W212" s="20">
        <v>28</v>
      </c>
    </row>
    <row r="213" spans="7:25" ht="80">
      <c r="G213" s="20"/>
      <c r="T213" s="197" t="s">
        <v>237</v>
      </c>
      <c r="U213" s="197" t="s">
        <v>238</v>
      </c>
      <c r="V213" s="20">
        <v>58</v>
      </c>
      <c r="W213" s="20">
        <v>28</v>
      </c>
    </row>
    <row r="214" spans="7:25" ht="120">
      <c r="G214" s="20"/>
      <c r="T214" s="197" t="s">
        <v>239</v>
      </c>
      <c r="U214" s="197" t="s">
        <v>240</v>
      </c>
      <c r="V214" s="20">
        <v>58</v>
      </c>
      <c r="W214" s="20">
        <v>28</v>
      </c>
    </row>
    <row r="215" spans="7:25" ht="160">
      <c r="G215" s="20"/>
      <c r="T215" s="197" t="s">
        <v>241</v>
      </c>
      <c r="U215" s="197" t="s">
        <v>568</v>
      </c>
      <c r="V215" s="20">
        <v>0</v>
      </c>
      <c r="W215" s="20">
        <v>0</v>
      </c>
    </row>
    <row r="216" spans="7:25">
      <c r="G216" s="20"/>
    </row>
    <row r="217" spans="7:25">
      <c r="G217" s="20"/>
    </row>
    <row r="218" spans="7:25">
      <c r="G218" s="20"/>
    </row>
    <row r="219" spans="7:25">
      <c r="G219" s="20"/>
    </row>
    <row r="220" spans="7:25">
      <c r="G220" s="20"/>
    </row>
    <row r="221" spans="7:25">
      <c r="G221" s="20"/>
      <c r="X221" s="37" t="s">
        <v>294</v>
      </c>
    </row>
    <row r="222" spans="7:25">
      <c r="G222" s="20"/>
      <c r="X222" s="198" t="s">
        <v>199</v>
      </c>
      <c r="Y222" s="198" t="s">
        <v>200</v>
      </c>
    </row>
    <row r="223" spans="7:25" ht="28.5">
      <c r="G223" s="20"/>
      <c r="X223" s="199" t="s">
        <v>204</v>
      </c>
      <c r="Y223" s="199" t="s">
        <v>246</v>
      </c>
    </row>
    <row r="224" spans="7:25" ht="98.5">
      <c r="G224" s="20"/>
      <c r="X224" s="199" t="s">
        <v>247</v>
      </c>
      <c r="Y224" s="199" t="s">
        <v>248</v>
      </c>
    </row>
    <row r="225" spans="7:32" ht="28.5">
      <c r="G225" s="20"/>
      <c r="X225" s="199" t="s">
        <v>249</v>
      </c>
      <c r="Y225" s="199" t="s">
        <v>250</v>
      </c>
    </row>
    <row r="226" spans="7:32" ht="28.5">
      <c r="G226" s="20"/>
      <c r="X226" s="199" t="s">
        <v>161</v>
      </c>
      <c r="Y226" s="199" t="s">
        <v>251</v>
      </c>
    </row>
    <row r="227" spans="7:32" ht="70.5">
      <c r="G227" s="20"/>
      <c r="X227" s="199" t="s">
        <v>252</v>
      </c>
      <c r="Y227" s="199" t="s">
        <v>253</v>
      </c>
    </row>
    <row r="228" spans="7:32" ht="42.5">
      <c r="G228" s="20"/>
      <c r="X228" s="199" t="s">
        <v>254</v>
      </c>
      <c r="Y228" s="199" t="s">
        <v>255</v>
      </c>
    </row>
    <row r="229" spans="7:32" ht="56.5">
      <c r="G229" s="20"/>
      <c r="X229" s="199" t="s">
        <v>256</v>
      </c>
      <c r="Y229" s="199" t="s">
        <v>257</v>
      </c>
    </row>
    <row r="230" spans="7:32" ht="56.5">
      <c r="G230" s="20"/>
      <c r="X230" s="199" t="s">
        <v>258</v>
      </c>
      <c r="Y230" s="199" t="s">
        <v>259</v>
      </c>
    </row>
    <row r="231" spans="7:32">
      <c r="G231" s="20"/>
      <c r="X231" s="199" t="s">
        <v>260</v>
      </c>
      <c r="Y231" s="199" t="s">
        <v>261</v>
      </c>
    </row>
    <row r="232" spans="7:32" ht="28.5">
      <c r="G232" s="20"/>
      <c r="X232" s="199" t="s">
        <v>262</v>
      </c>
      <c r="Y232" s="199" t="s">
        <v>263</v>
      </c>
    </row>
    <row r="233" spans="7:32" ht="84.5">
      <c r="G233" s="20"/>
      <c r="X233" s="199" t="s">
        <v>264</v>
      </c>
      <c r="Y233" s="199" t="s">
        <v>265</v>
      </c>
    </row>
    <row r="234" spans="7:32" ht="42.5">
      <c r="G234" s="20"/>
      <c r="X234" s="199" t="s">
        <v>266</v>
      </c>
      <c r="Y234" s="199" t="s">
        <v>267</v>
      </c>
    </row>
    <row r="235" spans="7:32" ht="56.5">
      <c r="G235" s="20"/>
      <c r="X235" s="199" t="s">
        <v>268</v>
      </c>
      <c r="Y235" s="199" t="s">
        <v>269</v>
      </c>
    </row>
    <row r="236" spans="7:32">
      <c r="G236" s="20"/>
      <c r="AF236" s="200"/>
    </row>
    <row r="237" spans="7:32">
      <c r="G237" s="20"/>
      <c r="AF237" s="200"/>
    </row>
    <row r="238" spans="7:32">
      <c r="G238" s="20"/>
      <c r="AF238" s="200"/>
    </row>
    <row r="239" spans="7:32">
      <c r="G239" s="20"/>
      <c r="AF239" s="200"/>
    </row>
    <row r="240" spans="7:32">
      <c r="G240" s="20"/>
      <c r="AF240" s="200"/>
    </row>
    <row r="241" spans="7:52">
      <c r="G241" s="20"/>
      <c r="AF241" s="200"/>
    </row>
    <row r="242" spans="7:52">
      <c r="G242" s="20"/>
      <c r="AF242" s="200"/>
    </row>
    <row r="243" spans="7:52">
      <c r="G243" s="20"/>
      <c r="AF243" s="200"/>
    </row>
    <row r="244" spans="7:52">
      <c r="G244" s="20"/>
      <c r="Z244" s="201" t="s">
        <v>270</v>
      </c>
      <c r="AA244" s="44">
        <v>2006</v>
      </c>
      <c r="AB244" s="44">
        <v>2007</v>
      </c>
      <c r="AC244" s="44">
        <v>2008</v>
      </c>
      <c r="AD244" s="44">
        <v>2009</v>
      </c>
      <c r="AE244" s="44">
        <v>2010</v>
      </c>
      <c r="AF244" s="202">
        <v>2011</v>
      </c>
      <c r="AG244" s="202">
        <f t="shared" ref="AG244:AZ244" si="6">+AF244+1</f>
        <v>2012</v>
      </c>
      <c r="AH244" s="202">
        <f t="shared" si="6"/>
        <v>2013</v>
      </c>
      <c r="AI244" s="202">
        <f t="shared" si="6"/>
        <v>2014</v>
      </c>
      <c r="AJ244" s="202">
        <f t="shared" si="6"/>
        <v>2015</v>
      </c>
      <c r="AK244" s="202">
        <f t="shared" si="6"/>
        <v>2016</v>
      </c>
      <c r="AL244" s="202">
        <f t="shared" si="6"/>
        <v>2017</v>
      </c>
      <c r="AM244" s="202">
        <f t="shared" si="6"/>
        <v>2018</v>
      </c>
      <c r="AN244" s="202">
        <f t="shared" si="6"/>
        <v>2019</v>
      </c>
      <c r="AO244" s="202">
        <f t="shared" si="6"/>
        <v>2020</v>
      </c>
      <c r="AP244" s="202">
        <f t="shared" si="6"/>
        <v>2021</v>
      </c>
      <c r="AQ244" s="202">
        <f t="shared" si="6"/>
        <v>2022</v>
      </c>
      <c r="AR244" s="202">
        <f t="shared" si="6"/>
        <v>2023</v>
      </c>
      <c r="AS244" s="202">
        <f t="shared" si="6"/>
        <v>2024</v>
      </c>
      <c r="AT244" s="202">
        <f t="shared" si="6"/>
        <v>2025</v>
      </c>
      <c r="AU244" s="202">
        <f t="shared" si="6"/>
        <v>2026</v>
      </c>
      <c r="AV244" s="202">
        <f t="shared" si="6"/>
        <v>2027</v>
      </c>
      <c r="AW244" s="202">
        <f t="shared" si="6"/>
        <v>2028</v>
      </c>
      <c r="AX244" s="202">
        <f t="shared" si="6"/>
        <v>2029</v>
      </c>
      <c r="AY244" s="202">
        <f t="shared" si="6"/>
        <v>2030</v>
      </c>
      <c r="AZ244" s="203">
        <f t="shared" si="6"/>
        <v>2031</v>
      </c>
    </row>
    <row r="245" spans="7:52">
      <c r="G245" s="20"/>
      <c r="Z245" s="204" t="s">
        <v>146</v>
      </c>
      <c r="AA245" s="200">
        <v>0.02</v>
      </c>
      <c r="AB245" s="200">
        <v>0.02</v>
      </c>
      <c r="AC245" s="200">
        <v>0.02</v>
      </c>
      <c r="AD245" s="200">
        <v>0.02</v>
      </c>
      <c r="AE245" s="200">
        <v>0.02</v>
      </c>
      <c r="AF245" s="200">
        <v>0.02</v>
      </c>
      <c r="AG245" s="200">
        <v>0.02</v>
      </c>
      <c r="AH245" s="200">
        <v>0.02</v>
      </c>
      <c r="AI245" s="200">
        <v>0.02</v>
      </c>
      <c r="AJ245" s="200">
        <v>0.02</v>
      </c>
      <c r="AK245" s="200">
        <v>0.02</v>
      </c>
      <c r="AL245" s="200">
        <v>0.02</v>
      </c>
      <c r="AM245" s="200">
        <v>0.02</v>
      </c>
      <c r="AN245" s="200">
        <v>0.02</v>
      </c>
      <c r="AO245" s="200">
        <v>0.02</v>
      </c>
      <c r="AP245" s="200">
        <v>0.02</v>
      </c>
      <c r="AQ245" s="200">
        <v>0.02</v>
      </c>
      <c r="AR245" s="200">
        <v>0.02</v>
      </c>
      <c r="AS245" s="200">
        <v>0.02</v>
      </c>
      <c r="AT245" s="200">
        <v>0.02</v>
      </c>
      <c r="AU245" s="200">
        <v>0.02</v>
      </c>
      <c r="AV245" s="200">
        <v>0.02</v>
      </c>
      <c r="AW245" s="200">
        <v>0.02</v>
      </c>
      <c r="AX245" s="200">
        <v>0.02</v>
      </c>
      <c r="AY245" s="200">
        <v>0.02</v>
      </c>
      <c r="AZ245" s="205">
        <v>0.02</v>
      </c>
    </row>
    <row r="246" spans="7:52">
      <c r="G246" s="20"/>
      <c r="Z246" s="204" t="s">
        <v>271</v>
      </c>
      <c r="AA246" s="200">
        <v>0.02</v>
      </c>
      <c r="AB246" s="200">
        <v>0.02</v>
      </c>
      <c r="AC246" s="200">
        <v>0.02</v>
      </c>
      <c r="AD246" s="200">
        <v>0.02</v>
      </c>
      <c r="AE246" s="200">
        <v>0.02</v>
      </c>
      <c r="AF246" s="200">
        <v>0.02</v>
      </c>
      <c r="AG246" s="200">
        <v>0.02</v>
      </c>
      <c r="AH246" s="200">
        <v>0.02</v>
      </c>
      <c r="AI246" s="200">
        <v>0.02</v>
      </c>
      <c r="AJ246" s="200">
        <v>0.02</v>
      </c>
      <c r="AK246" s="200">
        <v>1.95E-2</v>
      </c>
      <c r="AL246" s="200">
        <v>1.9E-2</v>
      </c>
      <c r="AM246" s="200">
        <v>1.8499999999999999E-2</v>
      </c>
      <c r="AN246" s="200">
        <v>1.7999999999999999E-2</v>
      </c>
      <c r="AO246" s="200">
        <v>1.7500000000000002E-2</v>
      </c>
      <c r="AP246" s="200">
        <v>1.7000000000000001E-2</v>
      </c>
      <c r="AQ246" s="200">
        <f t="shared" ref="AQ246:AZ246" si="7">+AP246</f>
        <v>1.7000000000000001E-2</v>
      </c>
      <c r="AR246" s="200">
        <f t="shared" si="7"/>
        <v>1.7000000000000001E-2</v>
      </c>
      <c r="AS246" s="200">
        <f t="shared" si="7"/>
        <v>1.7000000000000001E-2</v>
      </c>
      <c r="AT246" s="200">
        <f t="shared" si="7"/>
        <v>1.7000000000000001E-2</v>
      </c>
      <c r="AU246" s="200">
        <f t="shared" si="7"/>
        <v>1.7000000000000001E-2</v>
      </c>
      <c r="AV246" s="200">
        <f t="shared" si="7"/>
        <v>1.7000000000000001E-2</v>
      </c>
      <c r="AW246" s="200">
        <f t="shared" si="7"/>
        <v>1.7000000000000001E-2</v>
      </c>
      <c r="AX246" s="200">
        <f t="shared" si="7"/>
        <v>1.7000000000000001E-2</v>
      </c>
      <c r="AY246" s="200">
        <f t="shared" si="7"/>
        <v>1.7000000000000001E-2</v>
      </c>
      <c r="AZ246" s="205">
        <f t="shared" si="7"/>
        <v>1.7000000000000001E-2</v>
      </c>
    </row>
    <row r="247" spans="7:52">
      <c r="G247" s="20"/>
      <c r="Z247" s="204" t="s">
        <v>272</v>
      </c>
      <c r="AA247" s="200">
        <v>2.1999999999999999E-2</v>
      </c>
      <c r="AB247" s="200">
        <v>2.1999999999999999E-2</v>
      </c>
      <c r="AC247" s="200">
        <v>2.1999999999999999E-2</v>
      </c>
      <c r="AD247" s="200">
        <v>2.1999999999999999E-2</v>
      </c>
      <c r="AE247" s="200">
        <v>2.1999999999999999E-2</v>
      </c>
      <c r="AF247" s="200">
        <v>2.1999999999999999E-2</v>
      </c>
      <c r="AG247" s="200">
        <v>2.1999999999999999E-2</v>
      </c>
      <c r="AH247" s="200">
        <v>2.1999999999999999E-2</v>
      </c>
      <c r="AI247" s="200">
        <v>2.1999999999999999E-2</v>
      </c>
      <c r="AJ247" s="200">
        <v>2.1999999999999999E-2</v>
      </c>
      <c r="AK247" s="200">
        <v>2.1999999999999999E-2</v>
      </c>
      <c r="AL247" s="200">
        <v>2.1999999999999999E-2</v>
      </c>
      <c r="AM247" s="200">
        <v>2.1999999999999999E-2</v>
      </c>
      <c r="AN247" s="200">
        <v>2.1999999999999999E-2</v>
      </c>
      <c r="AO247" s="200">
        <v>2.1999999999999999E-2</v>
      </c>
      <c r="AP247" s="200">
        <v>2.1999999999999999E-2</v>
      </c>
      <c r="AQ247" s="200">
        <v>2.1999999999999999E-2</v>
      </c>
      <c r="AR247" s="200">
        <v>2.1999999999999999E-2</v>
      </c>
      <c r="AS247" s="200">
        <v>2.1999999999999999E-2</v>
      </c>
      <c r="AT247" s="200">
        <v>2.1999999999999999E-2</v>
      </c>
      <c r="AU247" s="200">
        <v>2.1999999999999999E-2</v>
      </c>
      <c r="AV247" s="200">
        <v>2.1999999999999999E-2</v>
      </c>
      <c r="AW247" s="200">
        <v>2.1999999999999999E-2</v>
      </c>
      <c r="AX247" s="200">
        <v>2.1999999999999999E-2</v>
      </c>
      <c r="AY247" s="200">
        <v>2.1999999999999999E-2</v>
      </c>
      <c r="AZ247" s="205">
        <v>2.1999999999999999E-2</v>
      </c>
    </row>
    <row r="248" spans="7:52">
      <c r="G248" s="20"/>
      <c r="Z248" s="204" t="s">
        <v>273</v>
      </c>
      <c r="AA248" s="200">
        <v>6.6E-3</v>
      </c>
      <c r="AB248" s="200">
        <v>6.6E-3</v>
      </c>
      <c r="AC248" s="200">
        <v>6.6E-3</v>
      </c>
      <c r="AD248" s="200">
        <v>6.6E-3</v>
      </c>
      <c r="AE248" s="200">
        <v>6.6E-3</v>
      </c>
      <c r="AF248" s="200">
        <v>6.6E-3</v>
      </c>
      <c r="AG248" s="200">
        <v>6.6E-3</v>
      </c>
      <c r="AH248" s="200">
        <v>6.6E-3</v>
      </c>
      <c r="AI248" s="200">
        <v>6.6E-3</v>
      </c>
      <c r="AJ248" s="200">
        <v>6.6E-3</v>
      </c>
      <c r="AK248" s="200">
        <v>6.6E-3</v>
      </c>
      <c r="AL248" s="200">
        <v>6.6E-3</v>
      </c>
      <c r="AM248" s="200">
        <v>6.6E-3</v>
      </c>
      <c r="AN248" s="200">
        <v>6.6E-3</v>
      </c>
      <c r="AO248" s="200">
        <v>6.6E-3</v>
      </c>
      <c r="AP248" s="200">
        <v>6.6E-3</v>
      </c>
      <c r="AQ248" s="200">
        <v>6.6E-3</v>
      </c>
      <c r="AR248" s="200">
        <v>6.6E-3</v>
      </c>
      <c r="AS248" s="200">
        <v>6.6E-3</v>
      </c>
      <c r="AT248" s="200">
        <v>6.6E-3</v>
      </c>
      <c r="AU248" s="200">
        <v>6.6E-3</v>
      </c>
      <c r="AV248" s="200">
        <v>6.6E-3</v>
      </c>
      <c r="AW248" s="200">
        <v>6.6E-3</v>
      </c>
      <c r="AX248" s="200">
        <v>6.6E-3</v>
      </c>
      <c r="AY248" s="200">
        <v>6.6E-3</v>
      </c>
      <c r="AZ248" s="205">
        <v>6.6E-3</v>
      </c>
    </row>
    <row r="249" spans="7:52">
      <c r="G249" s="20"/>
      <c r="Z249" s="195" t="s">
        <v>144</v>
      </c>
      <c r="AA249" s="206">
        <v>4.3119999999999999E-3</v>
      </c>
      <c r="AB249" s="206">
        <v>4.3119999999999999E-3</v>
      </c>
      <c r="AC249" s="206">
        <v>4.3119999999999999E-3</v>
      </c>
      <c r="AD249" s="206">
        <v>4.3119999999999999E-3</v>
      </c>
      <c r="AE249" s="206">
        <v>4.3119999999999999E-3</v>
      </c>
      <c r="AF249" s="206">
        <v>4.3119999999999999E-3</v>
      </c>
      <c r="AG249" s="206">
        <v>4.3119999999999999E-3</v>
      </c>
      <c r="AH249" s="206">
        <v>4.3119999999999999E-3</v>
      </c>
      <c r="AI249" s="206">
        <v>4.3119999999999999E-3</v>
      </c>
      <c r="AJ249" s="206">
        <v>4.3119999999999999E-3</v>
      </c>
      <c r="AK249" s="206">
        <v>4.3119999999999999E-3</v>
      </c>
      <c r="AL249" s="206">
        <v>4.3119999999999999E-3</v>
      </c>
      <c r="AM249" s="206">
        <v>4.3119999999999999E-3</v>
      </c>
      <c r="AN249" s="206">
        <v>4.3119999999999999E-3</v>
      </c>
      <c r="AO249" s="206">
        <v>4.3119999999999999E-3</v>
      </c>
      <c r="AP249" s="206">
        <v>4.3119999999999999E-3</v>
      </c>
      <c r="AQ249" s="206">
        <v>4.3119999999999999E-3</v>
      </c>
      <c r="AR249" s="206">
        <v>4.3119999999999999E-3</v>
      </c>
      <c r="AS249" s="206">
        <v>4.3119999999999999E-3</v>
      </c>
      <c r="AT249" s="206">
        <v>4.3119999999999999E-3</v>
      </c>
      <c r="AU249" s="206">
        <v>4.3119999999999999E-3</v>
      </c>
      <c r="AV249" s="206">
        <v>4.3119999999999999E-3</v>
      </c>
      <c r="AW249" s="206">
        <v>4.3119999999999999E-3</v>
      </c>
      <c r="AX249" s="206">
        <v>4.3119999999999999E-3</v>
      </c>
      <c r="AY249" s="206">
        <v>4.3119999999999999E-3</v>
      </c>
      <c r="AZ249" s="207">
        <v>4.3119999999999999E-3</v>
      </c>
    </row>
    <row r="250" spans="7:52">
      <c r="G250" s="20"/>
      <c r="Z250" s="208" t="s">
        <v>274</v>
      </c>
      <c r="AA250" s="37"/>
      <c r="AB250" s="37"/>
      <c r="AC250" s="37"/>
      <c r="AD250" s="37"/>
      <c r="AE250" s="37"/>
      <c r="AZ250" s="183"/>
    </row>
    <row r="251" spans="7:52">
      <c r="G251" s="20"/>
      <c r="Z251" s="204" t="s">
        <v>52</v>
      </c>
      <c r="AA251" s="209">
        <v>1</v>
      </c>
      <c r="AB251" s="209">
        <v>1</v>
      </c>
      <c r="AC251" s="209">
        <v>1</v>
      </c>
      <c r="AD251" s="209">
        <v>1</v>
      </c>
      <c r="AE251" s="209">
        <v>1</v>
      </c>
      <c r="AF251" s="209">
        <v>1</v>
      </c>
      <c r="AG251" s="209">
        <v>1</v>
      </c>
      <c r="AH251" s="209">
        <v>1</v>
      </c>
      <c r="AI251" s="209">
        <v>1</v>
      </c>
      <c r="AJ251" s="209">
        <v>1</v>
      </c>
      <c r="AK251" s="209">
        <v>1</v>
      </c>
      <c r="AL251" s="209">
        <v>1</v>
      </c>
      <c r="AM251" s="209">
        <v>1</v>
      </c>
      <c r="AN251" s="209">
        <v>1</v>
      </c>
      <c r="AO251" s="209">
        <v>1</v>
      </c>
      <c r="AP251" s="209">
        <v>1</v>
      </c>
      <c r="AQ251" s="209">
        <v>1</v>
      </c>
      <c r="AR251" s="209">
        <v>1</v>
      </c>
      <c r="AS251" s="209">
        <v>1</v>
      </c>
      <c r="AT251" s="209">
        <v>1</v>
      </c>
      <c r="AU251" s="209">
        <v>1</v>
      </c>
      <c r="AV251" s="209">
        <v>1</v>
      </c>
      <c r="AW251" s="209">
        <v>1</v>
      </c>
      <c r="AX251" s="209">
        <v>1</v>
      </c>
      <c r="AY251" s="209">
        <v>1</v>
      </c>
      <c r="AZ251" s="210">
        <v>1</v>
      </c>
    </row>
    <row r="252" spans="7:52">
      <c r="G252" s="20"/>
      <c r="Z252" s="204" t="s">
        <v>275</v>
      </c>
      <c r="AA252" s="209">
        <v>0.2</v>
      </c>
      <c r="AB252" s="209">
        <v>0.2</v>
      </c>
      <c r="AC252" s="209">
        <v>0.2</v>
      </c>
      <c r="AD252" s="209">
        <v>0.2</v>
      </c>
      <c r="AE252" s="209">
        <v>0.2</v>
      </c>
      <c r="AF252" s="209">
        <v>0.2</v>
      </c>
      <c r="AG252" s="209">
        <v>0.2</v>
      </c>
      <c r="AH252" s="209">
        <v>0.2</v>
      </c>
      <c r="AI252" s="209">
        <v>0.2</v>
      </c>
      <c r="AJ252" s="209">
        <v>0.2</v>
      </c>
      <c r="AK252" s="209">
        <v>0.2</v>
      </c>
      <c r="AL252" s="209">
        <v>0.2</v>
      </c>
      <c r="AM252" s="209">
        <v>0.2</v>
      </c>
      <c r="AN252" s="209">
        <v>0.2</v>
      </c>
      <c r="AO252" s="209">
        <v>0.2</v>
      </c>
      <c r="AP252" s="209">
        <v>0.2</v>
      </c>
      <c r="AQ252" s="209">
        <v>0.2</v>
      </c>
      <c r="AR252" s="209">
        <v>0.2</v>
      </c>
      <c r="AS252" s="209">
        <v>0.2</v>
      </c>
      <c r="AT252" s="209">
        <v>0.2</v>
      </c>
      <c r="AU252" s="209">
        <v>0.2</v>
      </c>
      <c r="AV252" s="209">
        <v>0.2</v>
      </c>
      <c r="AW252" s="209">
        <v>0.2</v>
      </c>
      <c r="AX252" s="209">
        <v>0.2</v>
      </c>
      <c r="AY252" s="209">
        <v>0.2</v>
      </c>
      <c r="AZ252" s="210">
        <v>0.2</v>
      </c>
    </row>
    <row r="253" spans="7:52">
      <c r="G253" s="20"/>
      <c r="Z253" s="204" t="s">
        <v>276</v>
      </c>
      <c r="AA253" s="209">
        <v>0.25</v>
      </c>
      <c r="AB253" s="209">
        <v>0.25</v>
      </c>
      <c r="AC253" s="209">
        <v>0.25</v>
      </c>
      <c r="AD253" s="209">
        <v>0.25</v>
      </c>
      <c r="AE253" s="209">
        <v>0.25</v>
      </c>
      <c r="AF253" s="209">
        <v>0.25</v>
      </c>
      <c r="AG253" s="209">
        <v>0.25</v>
      </c>
      <c r="AH253" s="209">
        <v>0.25</v>
      </c>
      <c r="AI253" s="209">
        <v>0.25</v>
      </c>
      <c r="AJ253" s="209">
        <v>0.25</v>
      </c>
      <c r="AK253" s="209">
        <v>0.25</v>
      </c>
      <c r="AL253" s="209">
        <v>0.25</v>
      </c>
      <c r="AM253" s="209">
        <v>0.25</v>
      </c>
      <c r="AN253" s="209">
        <v>0.25</v>
      </c>
      <c r="AO253" s="209">
        <v>0.25</v>
      </c>
      <c r="AP253" s="209">
        <v>0.25</v>
      </c>
      <c r="AQ253" s="209">
        <v>0.25</v>
      </c>
      <c r="AR253" s="209">
        <v>0.25</v>
      </c>
      <c r="AS253" s="209">
        <v>0.25</v>
      </c>
      <c r="AT253" s="209">
        <v>0.25</v>
      </c>
      <c r="AU253" s="209">
        <v>0.25</v>
      </c>
      <c r="AV253" s="209">
        <v>0.25</v>
      </c>
      <c r="AW253" s="209">
        <v>0.25</v>
      </c>
      <c r="AX253" s="209">
        <v>0.25</v>
      </c>
      <c r="AY253" s="209">
        <v>0.25</v>
      </c>
      <c r="AZ253" s="210">
        <v>0.25</v>
      </c>
    </row>
    <row r="254" spans="7:52">
      <c r="Z254" s="204" t="s">
        <v>131</v>
      </c>
      <c r="AA254" s="209">
        <v>0.35</v>
      </c>
      <c r="AB254" s="209">
        <v>0.35</v>
      </c>
      <c r="AC254" s="209">
        <v>0.35</v>
      </c>
      <c r="AD254" s="209">
        <v>0.35</v>
      </c>
      <c r="AE254" s="209">
        <v>0.35</v>
      </c>
      <c r="AF254" s="209">
        <v>0.35</v>
      </c>
      <c r="AG254" s="209">
        <v>0.35</v>
      </c>
      <c r="AH254" s="209">
        <v>0.35</v>
      </c>
      <c r="AI254" s="209">
        <v>0.35</v>
      </c>
      <c r="AJ254" s="209">
        <v>0.35</v>
      </c>
      <c r="AK254" s="209">
        <v>0.35</v>
      </c>
      <c r="AL254" s="209">
        <v>0.35</v>
      </c>
      <c r="AM254" s="209">
        <v>0.35</v>
      </c>
      <c r="AN254" s="209">
        <v>0.35</v>
      </c>
      <c r="AO254" s="209">
        <v>0.35</v>
      </c>
      <c r="AP254" s="209">
        <v>0.35</v>
      </c>
      <c r="AQ254" s="209">
        <v>0.35</v>
      </c>
      <c r="AR254" s="209">
        <v>0.35</v>
      </c>
      <c r="AS254" s="209">
        <v>0.35</v>
      </c>
      <c r="AT254" s="209">
        <v>0.35</v>
      </c>
      <c r="AU254" s="209">
        <v>0.35</v>
      </c>
      <c r="AV254" s="209">
        <v>0.35</v>
      </c>
      <c r="AW254" s="209">
        <v>0.35</v>
      </c>
      <c r="AX254" s="209">
        <v>0.35</v>
      </c>
      <c r="AY254" s="209">
        <v>0.35</v>
      </c>
      <c r="AZ254" s="210">
        <v>0.35</v>
      </c>
    </row>
    <row r="255" spans="7:52">
      <c r="G255" s="20"/>
      <c r="Z255" s="195" t="s">
        <v>277</v>
      </c>
      <c r="AA255" s="211">
        <v>0.4</v>
      </c>
      <c r="AB255" s="211">
        <v>0.4</v>
      </c>
      <c r="AC255" s="211">
        <v>0.4</v>
      </c>
      <c r="AD255" s="211">
        <v>0.4</v>
      </c>
      <c r="AE255" s="211">
        <v>0.4</v>
      </c>
      <c r="AF255" s="211">
        <v>0.4</v>
      </c>
      <c r="AG255" s="211">
        <v>0.4</v>
      </c>
      <c r="AH255" s="211">
        <v>0.4</v>
      </c>
      <c r="AI255" s="211">
        <v>0.4</v>
      </c>
      <c r="AJ255" s="211">
        <v>0.4</v>
      </c>
      <c r="AK255" s="211">
        <v>0.4</v>
      </c>
      <c r="AL255" s="211">
        <v>0.4</v>
      </c>
      <c r="AM255" s="211">
        <v>0.4</v>
      </c>
      <c r="AN255" s="211">
        <v>0.4</v>
      </c>
      <c r="AO255" s="211">
        <v>0.4</v>
      </c>
      <c r="AP255" s="211">
        <v>0.4</v>
      </c>
      <c r="AQ255" s="211">
        <v>0.4</v>
      </c>
      <c r="AR255" s="211">
        <v>0.4</v>
      </c>
      <c r="AS255" s="211">
        <v>0.4</v>
      </c>
      <c r="AT255" s="211">
        <v>0.4</v>
      </c>
      <c r="AU255" s="211">
        <v>0.4</v>
      </c>
      <c r="AV255" s="211">
        <v>0.4</v>
      </c>
      <c r="AW255" s="211">
        <v>0.4</v>
      </c>
      <c r="AX255" s="211">
        <v>0.4</v>
      </c>
      <c r="AY255" s="211">
        <v>0.4</v>
      </c>
      <c r="AZ255" s="212">
        <v>0.4</v>
      </c>
    </row>
    <row r="256" spans="7:52">
      <c r="G256" s="20"/>
    </row>
    <row r="257" spans="7:53">
      <c r="G257" s="20"/>
      <c r="BA257" s="20">
        <v>0</v>
      </c>
    </row>
    <row r="258" spans="7:53">
      <c r="G258" s="20"/>
      <c r="BA258" s="20">
        <v>1</v>
      </c>
    </row>
    <row r="259" spans="7:53">
      <c r="G259" s="20"/>
      <c r="BA259" s="20">
        <v>2</v>
      </c>
    </row>
    <row r="260" spans="7:53">
      <c r="BA260" s="20">
        <v>3</v>
      </c>
    </row>
    <row r="261" spans="7:53">
      <c r="BA261" s="20">
        <v>4</v>
      </c>
    </row>
    <row r="283" spans="55:56" ht="16" thickBot="1"/>
    <row r="284" spans="55:56" ht="16" thickBot="1">
      <c r="BC284" s="45" t="s">
        <v>286</v>
      </c>
      <c r="BD284" s="213">
        <v>2025</v>
      </c>
    </row>
    <row r="285" spans="55:56">
      <c r="BC285" s="214" t="s">
        <v>287</v>
      </c>
      <c r="BD285" s="183">
        <f>+BD284-1</f>
        <v>2024</v>
      </c>
    </row>
    <row r="286" spans="55:56">
      <c r="BC286" s="204"/>
      <c r="BD286" s="183">
        <f>+BD285-1</f>
        <v>2023</v>
      </c>
    </row>
    <row r="287" spans="55:56">
      <c r="BC287" s="204"/>
      <c r="BD287" s="183">
        <f>+BD286-1</f>
        <v>2022</v>
      </c>
    </row>
    <row r="288" spans="55:56">
      <c r="BC288" s="204"/>
      <c r="BD288" s="183">
        <f>+BD287-1</f>
        <v>2021</v>
      </c>
    </row>
    <row r="289" spans="55:56">
      <c r="BC289" s="195"/>
      <c r="BD289" s="180">
        <f>+BD288-1</f>
        <v>2020</v>
      </c>
    </row>
  </sheetData>
  <sheetProtection algorithmName="SHA-512" hashValue="WUd2sCCl+ALrTyrzMf5H0f7Oz1BnrEkeGLqHEKuwEEye7IoRylI81wAkcGqipKUwl30EK+6GlKNknViU3nN/yQ==" saltValue="UsFV0xiHHN8RNhEDZyVWfw==" spinCount="100000" sheet="1" selectLockedCells="1"/>
  <mergeCells count="193">
    <mergeCell ref="A140:K141"/>
    <mergeCell ref="I131:J132"/>
    <mergeCell ref="K131:K132"/>
    <mergeCell ref="B131:G131"/>
    <mergeCell ref="I24:J24"/>
    <mergeCell ref="H68:I68"/>
    <mergeCell ref="J68:K68"/>
    <mergeCell ref="J63:K63"/>
    <mergeCell ref="J64:K64"/>
    <mergeCell ref="J65:K65"/>
    <mergeCell ref="J61:K61"/>
    <mergeCell ref="J62:K62"/>
    <mergeCell ref="H48:I48"/>
    <mergeCell ref="H67:I67"/>
    <mergeCell ref="H66:I66"/>
    <mergeCell ref="H55:I55"/>
    <mergeCell ref="H56:I56"/>
    <mergeCell ref="H60:I60"/>
    <mergeCell ref="J44:K44"/>
    <mergeCell ref="K25:K30"/>
    <mergeCell ref="I25:J25"/>
    <mergeCell ref="I26:J26"/>
    <mergeCell ref="I27:J27"/>
    <mergeCell ref="A134:K134"/>
    <mergeCell ref="J55:K55"/>
    <mergeCell ref="J56:K56"/>
    <mergeCell ref="J57:K57"/>
    <mergeCell ref="J58:K58"/>
    <mergeCell ref="J60:K60"/>
    <mergeCell ref="J47:K47"/>
    <mergeCell ref="J46:K46"/>
    <mergeCell ref="H61:I61"/>
    <mergeCell ref="J66:K66"/>
    <mergeCell ref="H46:I46"/>
    <mergeCell ref="J67:K67"/>
    <mergeCell ref="H62:I62"/>
    <mergeCell ref="H58:I58"/>
    <mergeCell ref="J52:K52"/>
    <mergeCell ref="J53:K53"/>
    <mergeCell ref="J54:K54"/>
    <mergeCell ref="J48:K48"/>
    <mergeCell ref="A131:A132"/>
    <mergeCell ref="H85:I85"/>
    <mergeCell ref="A90:K90"/>
    <mergeCell ref="H83:I83"/>
    <mergeCell ref="J49:K49"/>
    <mergeCell ref="J59:K59"/>
    <mergeCell ref="H69:I69"/>
    <mergeCell ref="H82:I82"/>
    <mergeCell ref="H81:I81"/>
    <mergeCell ref="H80:I80"/>
    <mergeCell ref="H79:I79"/>
    <mergeCell ref="H78:I78"/>
    <mergeCell ref="J76:K76"/>
    <mergeCell ref="J77:K77"/>
    <mergeCell ref="J78:K78"/>
    <mergeCell ref="H77:I77"/>
    <mergeCell ref="J79:K79"/>
    <mergeCell ref="H5:K5"/>
    <mergeCell ref="A139:F139"/>
    <mergeCell ref="I22:J22"/>
    <mergeCell ref="A11:B11"/>
    <mergeCell ref="A12:B12"/>
    <mergeCell ref="C11:F11"/>
    <mergeCell ref="C12:F12"/>
    <mergeCell ref="J139:K139"/>
    <mergeCell ref="A137:D137"/>
    <mergeCell ref="J12:K12"/>
    <mergeCell ref="A14:B14"/>
    <mergeCell ref="C14:F14"/>
    <mergeCell ref="J14:K14"/>
    <mergeCell ref="J137:K137"/>
    <mergeCell ref="I7:K7"/>
    <mergeCell ref="G139:H139"/>
    <mergeCell ref="G138:H138"/>
    <mergeCell ref="G13:H13"/>
    <mergeCell ref="H57:I57"/>
    <mergeCell ref="H44:I44"/>
    <mergeCell ref="G14:H14"/>
    <mergeCell ref="E137:I137"/>
    <mergeCell ref="G12:I12"/>
    <mergeCell ref="I28:J28"/>
    <mergeCell ref="A135:K135"/>
    <mergeCell ref="H45:I45"/>
    <mergeCell ref="J45:K45"/>
    <mergeCell ref="H52:I52"/>
    <mergeCell ref="H53:I53"/>
    <mergeCell ref="H54:I54"/>
    <mergeCell ref="H65:I65"/>
    <mergeCell ref="H51:I51"/>
    <mergeCell ref="J51:K51"/>
    <mergeCell ref="H64:I64"/>
    <mergeCell ref="H63:I63"/>
    <mergeCell ref="H47:I47"/>
    <mergeCell ref="H50:I50"/>
    <mergeCell ref="J50:K50"/>
    <mergeCell ref="H49:I49"/>
    <mergeCell ref="H59:I59"/>
    <mergeCell ref="J70:K70"/>
    <mergeCell ref="J71:K71"/>
    <mergeCell ref="J72:K72"/>
    <mergeCell ref="J73:K73"/>
    <mergeCell ref="J80:K80"/>
    <mergeCell ref="J81:K81"/>
    <mergeCell ref="J82:K82"/>
    <mergeCell ref="H70:I70"/>
    <mergeCell ref="J69:K69"/>
    <mergeCell ref="I129:J129"/>
    <mergeCell ref="J85:K85"/>
    <mergeCell ref="J83:K83"/>
    <mergeCell ref="H76:I76"/>
    <mergeCell ref="H74:I74"/>
    <mergeCell ref="H73:I73"/>
    <mergeCell ref="H72:I72"/>
    <mergeCell ref="H71:I71"/>
    <mergeCell ref="I115:J115"/>
    <mergeCell ref="H75:I75"/>
    <mergeCell ref="J75:K75"/>
    <mergeCell ref="J74:K74"/>
    <mergeCell ref="B129:H129"/>
    <mergeCell ref="B110:F110"/>
    <mergeCell ref="B116:H116"/>
    <mergeCell ref="B113:H113"/>
    <mergeCell ref="I113:J113"/>
    <mergeCell ref="B98:F98"/>
    <mergeCell ref="B99:F99"/>
    <mergeCell ref="B100:F100"/>
    <mergeCell ref="B101:F101"/>
    <mergeCell ref="B97:F97"/>
    <mergeCell ref="H84:I84"/>
    <mergeCell ref="J84:K84"/>
    <mergeCell ref="A96:K96"/>
    <mergeCell ref="B114:F114"/>
    <mergeCell ref="I125:J125"/>
    <mergeCell ref="B124:F124"/>
    <mergeCell ref="B128:F128"/>
    <mergeCell ref="I116:J116"/>
    <mergeCell ref="B106:F106"/>
    <mergeCell ref="B107:F107"/>
    <mergeCell ref="B108:F108"/>
    <mergeCell ref="B109:F109"/>
    <mergeCell ref="B115:H115"/>
    <mergeCell ref="B102:F102"/>
    <mergeCell ref="B103:F103"/>
    <mergeCell ref="B111:F111"/>
    <mergeCell ref="B112:F112"/>
    <mergeCell ref="B104:F104"/>
    <mergeCell ref="B105:F105"/>
    <mergeCell ref="B125:H125"/>
    <mergeCell ref="B31:G31"/>
    <mergeCell ref="I18:J18"/>
    <mergeCell ref="I17:J17"/>
    <mergeCell ref="A37:B37"/>
    <mergeCell ref="H39:I39"/>
    <mergeCell ref="H38:I38"/>
    <mergeCell ref="A25:G25"/>
    <mergeCell ref="A26:G26"/>
    <mergeCell ref="A27:G27"/>
    <mergeCell ref="A28:G28"/>
    <mergeCell ref="A29:G29"/>
    <mergeCell ref="I23:J23"/>
    <mergeCell ref="I21:J21"/>
    <mergeCell ref="I20:J20"/>
    <mergeCell ref="I19:J19"/>
    <mergeCell ref="H37:I37"/>
    <mergeCell ref="I30:J30"/>
    <mergeCell ref="I31:J31"/>
    <mergeCell ref="J38:K38"/>
    <mergeCell ref="I29:J29"/>
    <mergeCell ref="A147:M147"/>
    <mergeCell ref="A142:K142"/>
    <mergeCell ref="L25:L30"/>
    <mergeCell ref="F6:G6"/>
    <mergeCell ref="H6:I6"/>
    <mergeCell ref="J13:K13"/>
    <mergeCell ref="C13:F13"/>
    <mergeCell ref="A13:B13"/>
    <mergeCell ref="G11:I11"/>
    <mergeCell ref="J11:K11"/>
    <mergeCell ref="A30:G30"/>
    <mergeCell ref="H25:H30"/>
    <mergeCell ref="A9:K9"/>
    <mergeCell ref="B24:G24"/>
    <mergeCell ref="A15:M15"/>
    <mergeCell ref="H40:I40"/>
    <mergeCell ref="J40:K40"/>
    <mergeCell ref="A38:B38"/>
    <mergeCell ref="C37:D37"/>
    <mergeCell ref="A40:B40"/>
    <mergeCell ref="A39:B39"/>
    <mergeCell ref="C40:D40"/>
    <mergeCell ref="C38:D38"/>
    <mergeCell ref="C39:D39"/>
  </mergeCells>
  <phoneticPr fontId="3" type="noConversion"/>
  <conditionalFormatting sqref="A13">
    <cfRule type="expression" dxfId="99" priority="71">
      <formula>LEN($A$14)&lt;2</formula>
    </cfRule>
  </conditionalFormatting>
  <conditionalFormatting sqref="A98 B98:F99 A101 B101:F102 A104:F105 A107 B107:F108 A110 B110:F111">
    <cfRule type="expression" dxfId="98" priority="41">
      <formula>$G97=0</formula>
    </cfRule>
  </conditionalFormatting>
  <conditionalFormatting sqref="A11:B11">
    <cfRule type="expression" dxfId="97" priority="75">
      <formula>$A$12&lt;1000</formula>
    </cfRule>
  </conditionalFormatting>
  <conditionalFormatting sqref="A136:D136">
    <cfRule type="expression" dxfId="96" priority="76">
      <formula>LEN($A$137)&lt;8</formula>
    </cfRule>
  </conditionalFormatting>
  <conditionalFormatting sqref="A138:F138">
    <cfRule type="expression" dxfId="95" priority="58">
      <formula>LEN($A$139)&lt;8</formula>
    </cfRule>
  </conditionalFormatting>
  <conditionalFormatting sqref="A20:H20">
    <cfRule type="expression" dxfId="94" priority="8">
      <formula>$A$14="AZ"</formula>
    </cfRule>
  </conditionalFormatting>
  <conditionalFormatting sqref="A89:K89">
    <cfRule type="expression" priority="1" stopIfTrue="1">
      <formula>NOT(ISBLANK($A$90))</formula>
    </cfRule>
    <cfRule type="expression" dxfId="93" priority="92" stopIfTrue="1">
      <formula>LEN($A$90)&gt;8</formula>
    </cfRule>
    <cfRule type="expression" dxfId="92" priority="93">
      <formula>SUM($H$84:$H$84)-$H$48-$H$63&lt;&gt;0</formula>
    </cfRule>
  </conditionalFormatting>
  <conditionalFormatting sqref="A60:M139 A16:M58 A59:H59 J59:M59 A140 L140:M142 A142 A143:M145">
    <cfRule type="expression" dxfId="91" priority="6">
      <formula>$G$12 = "RG"</formula>
    </cfRule>
  </conditionalFormatting>
  <conditionalFormatting sqref="C13">
    <cfRule type="expression" dxfId="90" priority="70">
      <formula>LEN($C$14)&lt;8</formula>
    </cfRule>
  </conditionalFormatting>
  <conditionalFormatting sqref="C11:F11">
    <cfRule type="expression" dxfId="89" priority="74">
      <formula>LEN($C$12)&lt;4</formula>
    </cfRule>
  </conditionalFormatting>
  <conditionalFormatting sqref="E136:I136">
    <cfRule type="expression" dxfId="88" priority="66">
      <formula>LEN($E$137)&lt;8</formula>
    </cfRule>
  </conditionalFormatting>
  <conditionalFormatting sqref="F46:F67 F69:F74 F76:F83">
    <cfRule type="expression" dxfId="87" priority="94">
      <formula>$E$86&lt;&gt;$F$84</formula>
    </cfRule>
  </conditionalFormatting>
  <conditionalFormatting sqref="G11">
    <cfRule type="expression" dxfId="86" priority="73">
      <formula>LEN($G$12)&lt;2</formula>
    </cfRule>
  </conditionalFormatting>
  <conditionalFormatting sqref="G86:G87">
    <cfRule type="expression" dxfId="85" priority="51">
      <formula>$E$86=SUM(#REF!)</formula>
    </cfRule>
  </conditionalFormatting>
  <conditionalFormatting sqref="G13:J13">
    <cfRule type="expression" dxfId="84" priority="64">
      <formula>LEN(G14)&lt;2</formula>
    </cfRule>
  </conditionalFormatting>
  <conditionalFormatting sqref="G138:J138">
    <cfRule type="expression" dxfId="83" priority="60">
      <formula>LEN(G139)&lt;2</formula>
    </cfRule>
  </conditionalFormatting>
  <conditionalFormatting sqref="I20:J20">
    <cfRule type="expression" dxfId="82" priority="7">
      <formula>$A$14="AZ"</formula>
    </cfRule>
  </conditionalFormatting>
  <conditionalFormatting sqref="J11">
    <cfRule type="expression" dxfId="81" priority="72">
      <formula>LEN($J$12)&lt;2</formula>
    </cfRule>
  </conditionalFormatting>
  <conditionalFormatting sqref="J136:K136">
    <cfRule type="expression" dxfId="80" priority="65">
      <formula>LEN($J$137)&lt;10</formula>
    </cfRule>
  </conditionalFormatting>
  <conditionalFormatting sqref="K138">
    <cfRule type="expression" dxfId="79" priority="59">
      <formula>LEN(J139)&lt;2</formula>
    </cfRule>
  </conditionalFormatting>
  <dataValidations count="7">
    <dataValidation type="list" allowBlank="1" showInputMessage="1" showErrorMessage="1" errorTitle="Invalid Entry" error="Enter the two-letter state code of the insurer's domicile, or if an alien insurer, port-of-entry state." prompt="Enter the two-letter state code of the insurer's domicile, or if an alien insurer, port-of-entry state." sqref="A14:B14" xr:uid="{00000000-0002-0000-0000-000000000000}">
      <formula1>$S$157:$S$207</formula1>
    </dataValidation>
    <dataValidation type="list" allowBlank="1" showInputMessage="1" showErrorMessage="1" errorTitle="Invalid Entry" error="Enter the two-letter ENTITY TYPE code as shown on the insurer's page of the Annual Taxes and Fees Data Sheet." prompt="Enter the two-letter ENTITY TYPE code as shown on the insurer's page of the Annual Taxes and Fees Data Sheet." sqref="J12:K12" xr:uid="{00000000-0002-0000-0000-000001000000}">
      <formula1>$X$223:$X$235</formula1>
    </dataValidation>
    <dataValidation type="decimal" allowBlank="1" showInputMessage="1" showErrorMessage="1" errorTitle="Invalid Entry" error="You must enter a positive number (or 0)." sqref="F85:I85" xr:uid="{00000000-0002-0000-0000-000003000000}">
      <formula1>0</formula1>
    </dataValidation>
    <dataValidation type="list" allowBlank="1" showInputMessage="1" showErrorMessage="1" sqref="K3" xr:uid="{00000000-0002-0000-0000-000005000000}">
      <formula1>$BD$285:$BD$289</formula1>
    </dataValidation>
    <dataValidation type="decimal" operator="greaterThanOrEqual" allowBlank="1" showInputMessage="1" showErrorMessage="1" errorTitle="Invalid Entry" error="You must enter a positive number (or 0)." sqref="F46:H83 I46:I58 I60:I83" xr:uid="{00000000-0002-0000-0000-000006000000}">
      <formula1>0</formula1>
    </dataValidation>
    <dataValidation type="list" allowBlank="1" showInputMessage="1" showErrorMessage="1" sqref="H6:I6" xr:uid="{E51B6087-C148-4266-A1B2-802EE069CE8F}">
      <formula1>$R$1:$R$2</formula1>
    </dataValidation>
    <dataValidation type="list" allowBlank="1" showInputMessage="1" showErrorMessage="1" errorTitle="Invalid Entry" error="Enter the two-letter BUSINESS TYPE code as shown on the insurer's page of the Annual Taxes and Fees Data Sheet." prompt="Enter the two-letter BUSINESS TYPE code as shown on the insurer's page of the Annual Taxes and Fees Data Sheet." sqref="G12:H12" xr:uid="{00000000-0002-0000-0000-000002000000}">
      <formula1>$T$210:$T$215</formula1>
    </dataValidation>
  </dataValidations>
  <hyperlinks>
    <hyperlink ref="D4" r:id="rId1" xr:uid="{81D15D3F-B07E-411F-903C-C121606D3635}"/>
    <hyperlink ref="D5" r:id="rId2" xr:uid="{9CEF46A1-4E9F-4A01-BB39-0AEACF99B5E2}"/>
  </hyperlinks>
  <pageMargins left="0.25" right="0.25" top="0.25" bottom="0.75" header="0.5" footer="0.5"/>
  <pageSetup scale="69" fitToHeight="0" orientation="portrait" r:id="rId3"/>
  <headerFooter>
    <oddFooter>Page &amp;P&amp;RE-Tax Domestic PC - RRG.xlsx</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46775-2494-4C74-9BE0-3715F2C50366}">
  <sheetPr>
    <pageSetUpPr fitToPage="1"/>
  </sheetPr>
  <dimension ref="A1:Y312"/>
  <sheetViews>
    <sheetView workbookViewId="0">
      <selection activeCell="H48" sqref="H48:I48"/>
    </sheetView>
  </sheetViews>
  <sheetFormatPr defaultColWidth="8.83203125" defaultRowHeight="15.5"/>
  <cols>
    <col min="1" max="1" width="5.5" style="20" customWidth="1"/>
    <col min="2" max="2" width="5" style="20" customWidth="1"/>
    <col min="3" max="3" width="42.4140625" style="20" customWidth="1"/>
    <col min="4" max="4" width="14.1640625" style="20" customWidth="1"/>
    <col min="5" max="5" width="6.5" style="20" customWidth="1"/>
    <col min="6" max="6" width="14.1640625" style="20" customWidth="1"/>
    <col min="7" max="7" width="6.58203125" style="20" customWidth="1"/>
    <col min="8" max="8" width="15.6640625" style="20" customWidth="1"/>
    <col min="9" max="9" width="8" style="20" customWidth="1"/>
    <col min="10" max="10" width="14.1640625" style="20" customWidth="1"/>
    <col min="11" max="11" width="6.08203125" style="20" customWidth="1"/>
    <col min="12" max="16" width="8.83203125" style="20"/>
    <col min="17" max="17" width="0" style="20" hidden="1" customWidth="1"/>
    <col min="18" max="16384" width="8.83203125" style="20"/>
  </cols>
  <sheetData>
    <row r="1" spans="1:17" ht="18">
      <c r="C1" s="215" t="s">
        <v>297</v>
      </c>
      <c r="E1" s="215"/>
      <c r="K1" s="216" t="s">
        <v>322</v>
      </c>
      <c r="L1" s="76" t="s">
        <v>285</v>
      </c>
      <c r="Q1" s="20">
        <f>+VALUE(tc_TaxYear)</f>
        <v>2024</v>
      </c>
    </row>
    <row r="2" spans="1:17">
      <c r="C2" s="217" t="s">
        <v>323</v>
      </c>
      <c r="D2" s="218"/>
      <c r="E2" s="219"/>
      <c r="K2" s="220" t="s">
        <v>324</v>
      </c>
      <c r="Q2" s="20">
        <f>+IF(Q1&lt;2017,1,0)</f>
        <v>0</v>
      </c>
    </row>
    <row r="3" spans="1:17" ht="16" thickBot="1">
      <c r="C3" s="221" t="s">
        <v>536</v>
      </c>
      <c r="D3" s="222"/>
      <c r="J3" s="223" t="s">
        <v>2</v>
      </c>
      <c r="K3" s="224">
        <v>2024</v>
      </c>
      <c r="L3" s="76">
        <f>+tc_TaxYear</f>
        <v>2024</v>
      </c>
    </row>
    <row r="4" spans="1:17">
      <c r="C4" s="225" t="s">
        <v>537</v>
      </c>
      <c r="D4" s="222"/>
    </row>
    <row r="5" spans="1:17">
      <c r="C5" s="225" t="s">
        <v>404</v>
      </c>
      <c r="D5" s="222"/>
    </row>
    <row r="6" spans="1:17">
      <c r="A6" s="226" t="s">
        <v>582</v>
      </c>
      <c r="B6" s="227"/>
      <c r="C6" s="227"/>
      <c r="D6" s="227"/>
      <c r="E6" s="227"/>
      <c r="F6" s="227"/>
      <c r="G6" s="227"/>
      <c r="H6" s="227"/>
      <c r="I6" s="227"/>
      <c r="J6" s="227"/>
      <c r="K6" s="227"/>
    </row>
    <row r="7" spans="1:17" ht="3.5" customHeight="1"/>
    <row r="8" spans="1:17" ht="3.5" customHeight="1"/>
    <row r="9" spans="1:17">
      <c r="A9" s="542" t="s">
        <v>4</v>
      </c>
      <c r="B9" s="543"/>
      <c r="C9" s="542" t="s">
        <v>5</v>
      </c>
      <c r="D9" s="543"/>
      <c r="E9" s="543"/>
      <c r="F9" s="228" t="s">
        <v>325</v>
      </c>
      <c r="G9" s="228"/>
      <c r="H9" s="228" t="s">
        <v>326</v>
      </c>
      <c r="I9" s="228"/>
      <c r="J9" s="228" t="s">
        <v>327</v>
      </c>
      <c r="K9" s="228"/>
    </row>
    <row r="10" spans="1:17">
      <c r="A10" s="538">
        <f>_NAIC</f>
        <v>0</v>
      </c>
      <c r="B10" s="538"/>
      <c r="C10" s="544">
        <f>_InsurerName</f>
        <v>0</v>
      </c>
      <c r="D10" s="544"/>
      <c r="E10" s="544"/>
      <c r="F10" s="544" t="str">
        <f>_Domicile</f>
        <v>AZ</v>
      </c>
      <c r="G10" s="544"/>
      <c r="H10" s="538">
        <f>_BusType</f>
        <v>0</v>
      </c>
      <c r="I10" s="538"/>
      <c r="J10" s="538">
        <f>_EntType</f>
        <v>0</v>
      </c>
      <c r="K10" s="538"/>
    </row>
    <row r="11" spans="1:17" ht="24" customHeight="1"/>
    <row r="12" spans="1:17">
      <c r="A12" s="226" t="s">
        <v>402</v>
      </c>
      <c r="B12" s="227"/>
      <c r="C12" s="227"/>
      <c r="D12" s="227"/>
      <c r="E12" s="227"/>
      <c r="F12" s="227"/>
      <c r="G12" s="227"/>
      <c r="H12" s="227"/>
      <c r="I12" s="227"/>
      <c r="J12" s="227"/>
      <c r="K12" s="227"/>
    </row>
    <row r="13" spans="1:17" ht="5.25" customHeight="1">
      <c r="A13" s="229"/>
      <c r="B13" s="497"/>
      <c r="C13" s="497"/>
    </row>
    <row r="14" spans="1:17" s="230" customFormat="1" ht="15" customHeight="1">
      <c r="A14" s="539" t="s">
        <v>328</v>
      </c>
      <c r="B14" s="540"/>
      <c r="C14" s="540"/>
      <c r="D14" s="540" t="s">
        <v>329</v>
      </c>
      <c r="E14" s="541"/>
      <c r="F14" s="540" t="str">
        <f>"Credit Earned in "&amp;TEXT(K3,"0000")</f>
        <v>Credit Earned in 2024</v>
      </c>
      <c r="G14" s="541"/>
      <c r="H14" s="540" t="s">
        <v>330</v>
      </c>
      <c r="I14" s="541"/>
      <c r="J14" s="540" t="s">
        <v>331</v>
      </c>
      <c r="K14" s="541"/>
    </row>
    <row r="15" spans="1:17" ht="3.5" hidden="1" customHeight="1">
      <c r="A15" s="231"/>
      <c r="B15" s="545"/>
      <c r="C15" s="546"/>
      <c r="D15" s="232"/>
      <c r="E15" s="233"/>
      <c r="F15" s="234"/>
      <c r="G15" s="235"/>
      <c r="H15" s="234"/>
      <c r="I15" s="235"/>
      <c r="J15" s="232"/>
      <c r="K15" s="233"/>
    </row>
    <row r="16" spans="1:17" ht="28.5" customHeight="1">
      <c r="A16" s="231" t="s">
        <v>332</v>
      </c>
      <c r="B16" s="529" t="s">
        <v>334</v>
      </c>
      <c r="C16" s="529"/>
      <c r="D16" s="234">
        <v>0</v>
      </c>
      <c r="E16" s="235"/>
      <c r="F16" s="234">
        <f>+SUM(H35:I39)</f>
        <v>0</v>
      </c>
      <c r="G16" s="235" t="str">
        <f>+IF(F16&lt;&gt;0,"GFE","")</f>
        <v/>
      </c>
      <c r="H16" s="234">
        <f>+SUM(H35:I39)</f>
        <v>0</v>
      </c>
      <c r="I16" s="235" t="str">
        <f>+IF(H16&lt;&gt;0,"GFT","")</f>
        <v/>
      </c>
      <c r="J16" s="232"/>
      <c r="K16" s="233"/>
    </row>
    <row r="17" spans="1:13" ht="28.5" customHeight="1">
      <c r="A17" s="231" t="s">
        <v>333</v>
      </c>
      <c r="B17" s="547" t="s">
        <v>552</v>
      </c>
      <c r="C17" s="548"/>
      <c r="D17" s="234">
        <f>+IF(AND(H54&lt;D54+F54,H54&lt;H49),H54,MIN(D54+F54,IF(H49&gt;0,H49,0)))</f>
        <v>0</v>
      </c>
      <c r="E17" s="235" t="str">
        <f>IF(D17&lt;&gt;0,"AHA","")</f>
        <v/>
      </c>
      <c r="F17" s="234">
        <f>+F58</f>
        <v>0</v>
      </c>
      <c r="G17" s="235" t="str">
        <f>IF(TC_AHE&lt;&gt;0,"AHE","")</f>
        <v/>
      </c>
      <c r="H17" s="234">
        <f>IF(H49&gt;D17+TC_18.1-TC_18,D17+TC_18.1-TC_18,IF(H49&gt;0,H49,0))</f>
        <v>0</v>
      </c>
      <c r="I17" s="235" t="str">
        <f>IF(TC_AHT&lt;&gt;0,"AHT","")</f>
        <v/>
      </c>
      <c r="J17" s="234">
        <f>J54+J58</f>
        <v>0</v>
      </c>
      <c r="K17" s="235" t="str">
        <f>IF(TC_AHF&lt;&gt;0,"AHF","")</f>
        <v/>
      </c>
    </row>
    <row r="18" spans="1:13" ht="28.5" customHeight="1">
      <c r="A18" s="231" t="s">
        <v>551</v>
      </c>
      <c r="B18" s="529" t="s">
        <v>336</v>
      </c>
      <c r="C18" s="529"/>
      <c r="D18" s="234">
        <f>+IF(AND(H67&lt;D67+F67,H67&lt;H61),H67,MIN(D67+F67,IF(H61&gt;0,H61,0)))</f>
        <v>0</v>
      </c>
      <c r="E18" s="235" t="str">
        <f>IF(D18&lt;&gt;0,"QJA","")</f>
        <v/>
      </c>
      <c r="F18" s="234">
        <f>+F71</f>
        <v>0</v>
      </c>
      <c r="G18" s="235" t="str">
        <f>IF(F18&lt;&gt;0,"QJE","")</f>
        <v/>
      </c>
      <c r="H18" s="234">
        <f>IF(H61&gt;D18+F71-J71,D18+F71-J71,IF(H61&gt;0,H61,0))</f>
        <v>0</v>
      </c>
      <c r="I18" s="235" t="str">
        <f>IF(H18&lt;&gt;0,"QJT","")</f>
        <v/>
      </c>
      <c r="J18" s="234">
        <f>+J71+J67</f>
        <v>0</v>
      </c>
      <c r="K18" s="235" t="str">
        <f>IF(J18&lt;&gt;0,"QJF","")</f>
        <v/>
      </c>
    </row>
    <row r="19" spans="1:13" ht="28.5" customHeight="1">
      <c r="A19" s="231" t="s">
        <v>335</v>
      </c>
      <c r="B19" s="529" t="s">
        <v>338</v>
      </c>
      <c r="C19" s="529"/>
      <c r="D19" s="234">
        <f>+IF(AND(H78&lt;D78+F78,H78&lt;H72),H78,MIN(D78+F78,IF(H72&gt;0,H72,0)))</f>
        <v>0</v>
      </c>
      <c r="E19" s="235" t="str">
        <f>IF(D19&lt;&gt;0,"S1A","")</f>
        <v/>
      </c>
      <c r="F19" s="234">
        <f>+F82</f>
        <v>0</v>
      </c>
      <c r="G19" s="235" t="str">
        <f>IF(F19&lt;&gt;0,"S1E","")</f>
        <v/>
      </c>
      <c r="H19" s="234">
        <f>IF(H72&gt;D19+F82-J82,D19+F82-J82,IF(H72&gt;0,H72,0))</f>
        <v>0</v>
      </c>
      <c r="I19" s="235" t="str">
        <f>IF(H19&lt;&gt;0,"S1T","")</f>
        <v/>
      </c>
      <c r="J19" s="234">
        <f>+J78+J82</f>
        <v>0</v>
      </c>
      <c r="K19" s="235" t="str">
        <f>IF(J19&lt;&gt;0,"S1F","")</f>
        <v/>
      </c>
    </row>
    <row r="20" spans="1:13" ht="28.5" customHeight="1">
      <c r="A20" s="231" t="s">
        <v>337</v>
      </c>
      <c r="B20" s="529" t="s">
        <v>340</v>
      </c>
      <c r="C20" s="529"/>
      <c r="D20" s="234">
        <f>+IF(AND(H90&lt;D90+F90,H90&lt;H84),H90,MIN(D90+F90,IF(H84&gt;0,H84,0)))</f>
        <v>0</v>
      </c>
      <c r="E20" s="235" t="str">
        <f>IF(D20&lt;&gt;0,"S2A","")</f>
        <v/>
      </c>
      <c r="F20" s="234">
        <f>+F94</f>
        <v>0</v>
      </c>
      <c r="G20" s="235" t="str">
        <f>IF(F20&lt;&gt;0,"S2E","")</f>
        <v/>
      </c>
      <c r="H20" s="234">
        <f>IF(H84&gt;D20+F94-J94,D20+F94-J94,IF(H84&gt;0,H84,0))</f>
        <v>0</v>
      </c>
      <c r="I20" s="235" t="str">
        <f>IF(H20&lt;&gt;0,"S2T","")</f>
        <v/>
      </c>
      <c r="J20" s="234">
        <f>+J94+J90</f>
        <v>0</v>
      </c>
      <c r="K20" s="235" t="str">
        <f>IF(J20&lt;&gt;0,"S2F","")</f>
        <v/>
      </c>
      <c r="M20" s="236"/>
    </row>
    <row r="21" spans="1:13" ht="28.5" customHeight="1" thickBot="1">
      <c r="A21" s="231" t="s">
        <v>339</v>
      </c>
      <c r="B21" s="529" t="s">
        <v>342</v>
      </c>
      <c r="C21" s="529"/>
      <c r="D21" s="234">
        <f>+IF(AND(H102&lt;D102+F102,H102&lt;H95),H102,MIN(D102+F102,IF(H95&gt;0,H95,0)))</f>
        <v>0</v>
      </c>
      <c r="E21" s="235" t="str">
        <f>IF(D21&lt;&gt;0,"HCA","")</f>
        <v/>
      </c>
      <c r="F21" s="234">
        <f>IF(H103&lt;0,0,IF(+F107&lt;H103,F107,H103))</f>
        <v>0</v>
      </c>
      <c r="G21" s="235" t="str">
        <f>IF(F21&lt;&gt;0,"HCE","")</f>
        <v/>
      </c>
      <c r="H21" s="234">
        <f>+IF(H107+H102&gt;H95,H95,H102+H107)</f>
        <v>0</v>
      </c>
      <c r="I21" s="297" t="str">
        <f>IF(H21&lt;&gt;0,"HCT","")</f>
        <v/>
      </c>
      <c r="J21" s="234">
        <f>+J107+J102</f>
        <v>0</v>
      </c>
      <c r="K21" s="235" t="str">
        <f>IF(J21&lt;&gt;0,"HCF","")</f>
        <v/>
      </c>
      <c r="M21" s="237"/>
    </row>
    <row r="22" spans="1:13" ht="16" thickTop="1">
      <c r="A22" s="298" t="s">
        <v>341</v>
      </c>
      <c r="B22" s="530" t="s">
        <v>344</v>
      </c>
      <c r="C22" s="531"/>
      <c r="D22" s="497"/>
      <c r="E22" s="497"/>
      <c r="F22" s="497"/>
      <c r="G22" s="532"/>
      <c r="H22" s="238"/>
      <c r="I22" s="239"/>
      <c r="J22" s="533" t="str">
        <f>IF(H23&lt;&gt;0,"TC","")</f>
        <v/>
      </c>
      <c r="K22" s="497"/>
    </row>
    <row r="23" spans="1:13" ht="16" thickBot="1">
      <c r="A23" s="240"/>
      <c r="B23" s="535" t="s">
        <v>583</v>
      </c>
      <c r="C23" s="458"/>
      <c r="D23" s="458"/>
      <c r="E23" s="458"/>
      <c r="F23" s="536"/>
      <c r="G23" s="537"/>
      <c r="H23" s="242">
        <f>+SUM(H15:H21)</f>
        <v>0</v>
      </c>
      <c r="I23" s="243"/>
      <c r="J23" s="534"/>
      <c r="K23" s="407"/>
    </row>
    <row r="24" spans="1:13" ht="16" thickTop="1">
      <c r="A24" s="244"/>
      <c r="B24" s="475"/>
      <c r="C24" s="475"/>
      <c r="D24" s="245"/>
      <c r="E24" s="245"/>
      <c r="F24" s="246"/>
      <c r="G24" s="246"/>
      <c r="H24" s="246"/>
      <c r="I24" s="246"/>
      <c r="J24" s="246"/>
      <c r="K24" s="247" t="str">
        <f>+'FormE-TAX'!K42</f>
        <v>2024 |  (</v>
      </c>
    </row>
    <row r="25" spans="1:13">
      <c r="A25" s="226" t="s">
        <v>403</v>
      </c>
      <c r="B25" s="227"/>
      <c r="C25" s="227"/>
      <c r="D25" s="227"/>
      <c r="E25" s="227"/>
      <c r="F25" s="227"/>
      <c r="G25" s="227"/>
      <c r="H25" s="227"/>
      <c r="I25" s="227"/>
      <c r="J25" s="227"/>
      <c r="K25" s="227"/>
    </row>
    <row r="26" spans="1:13" ht="23.25" hidden="1" customHeight="1">
      <c r="A26" s="244"/>
      <c r="B26" s="475"/>
      <c r="C26" s="475"/>
      <c r="D26" s="245"/>
      <c r="E26" s="245"/>
      <c r="F26" s="246"/>
      <c r="G26" s="246"/>
      <c r="H26" s="246"/>
      <c r="I26" s="246"/>
      <c r="J26" s="246"/>
      <c r="K26" s="246"/>
    </row>
    <row r="27" spans="1:13" hidden="1">
      <c r="A27" s="476" t="s">
        <v>538</v>
      </c>
      <c r="B27" s="476"/>
      <c r="C27" s="476"/>
      <c r="D27" s="476"/>
      <c r="E27" s="476"/>
      <c r="F27" s="476"/>
      <c r="G27" s="476"/>
      <c r="H27" s="476"/>
      <c r="I27" s="476"/>
      <c r="J27" s="476"/>
      <c r="K27" s="476"/>
    </row>
    <row r="28" spans="1:13" ht="3" customHeight="1">
      <c r="A28" s="244"/>
      <c r="B28" s="526"/>
      <c r="C28" s="526"/>
      <c r="D28" s="245"/>
      <c r="E28" s="245"/>
      <c r="F28" s="246"/>
      <c r="G28" s="246"/>
      <c r="H28" s="246"/>
      <c r="I28" s="246"/>
      <c r="J28" s="246"/>
      <c r="K28" s="246"/>
    </row>
    <row r="29" spans="1:13">
      <c r="A29" s="248" t="s">
        <v>343</v>
      </c>
      <c r="B29" s="472" t="s">
        <v>569</v>
      </c>
      <c r="C29" s="473"/>
      <c r="D29" s="249"/>
      <c r="E29" s="249"/>
      <c r="F29" s="250"/>
      <c r="G29" s="254"/>
      <c r="H29" s="527">
        <f>MAX(0,_GT)</f>
        <v>0</v>
      </c>
      <c r="I29" s="528"/>
    </row>
    <row r="30" spans="1:13" ht="16.5" customHeight="1">
      <c r="A30" s="244"/>
      <c r="B30" s="475"/>
      <c r="C30" s="475"/>
      <c r="D30" s="245"/>
      <c r="E30" s="245"/>
      <c r="F30" s="246"/>
      <c r="G30" s="246"/>
      <c r="H30" s="246"/>
      <c r="I30" s="246"/>
      <c r="J30" s="246"/>
      <c r="K30" s="246"/>
    </row>
    <row r="31" spans="1:13">
      <c r="A31" s="476" t="s">
        <v>349</v>
      </c>
      <c r="B31" s="477"/>
      <c r="C31" s="477"/>
      <c r="D31" s="477"/>
      <c r="E31" s="477"/>
      <c r="F31" s="478"/>
      <c r="G31" s="478"/>
      <c r="H31" s="478"/>
      <c r="I31" s="478"/>
      <c r="J31" s="478"/>
      <c r="K31" s="478"/>
    </row>
    <row r="32" spans="1:13" ht="3" customHeight="1">
      <c r="A32" s="244"/>
      <c r="B32" s="475"/>
      <c r="C32" s="475"/>
      <c r="D32" s="245"/>
      <c r="E32" s="245"/>
      <c r="F32" s="246"/>
      <c r="G32" s="246"/>
      <c r="H32" s="246"/>
      <c r="I32" s="246"/>
      <c r="J32" s="246"/>
      <c r="K32" s="246"/>
    </row>
    <row r="33" spans="1:11" ht="32.25" customHeight="1">
      <c r="A33" s="298" t="s">
        <v>345</v>
      </c>
      <c r="B33" s="496" t="str">
        <f>IF(K3&lt;=2016,"No Guaranty Fund Certificate of Contribution was issued in the past five years.  SKIP TO LINE 14.  If you received a refund from the Guaranty Fund, leave amounts at 0.00 - do not enter a negative amount.","Offsets for Arizona Guaranty Fund Certificates of Contribution.  Attach Certificates of Contribution issued by the Guaranty Fund.  If you received a refund from the Guaranty Fund, enter 0.00 - do not enter a negative amount.")</f>
        <v>Offsets for Arizona Guaranty Fund Certificates of Contribution.  Attach Certificates of Contribution issued by the Guaranty Fund.  If you received a refund from the Guaranty Fund, enter 0.00 - do not enter a negative amount.</v>
      </c>
      <c r="C33" s="497"/>
      <c r="D33" s="497"/>
      <c r="E33" s="497"/>
      <c r="F33" s="497"/>
      <c r="G33" s="497"/>
      <c r="H33" s="497"/>
      <c r="I33" s="498"/>
    </row>
    <row r="34" spans="1:11" s="230" customFormat="1">
      <c r="A34" s="252"/>
      <c r="B34" s="479" t="str">
        <f>IF(H35&gt;TC_8,"ERROR: Credit Taken &gt; Remaining Credit-eligible Tax",+IF(SUM(H35:I35)&gt;SUM(D35:G35),"ERROR: Credit Taken &gt; Unused Credit ",""))</f>
        <v/>
      </c>
      <c r="C34" s="480"/>
      <c r="D34" s="481" t="s">
        <v>351</v>
      </c>
      <c r="E34" s="483"/>
      <c r="F34" s="470" t="s">
        <v>352</v>
      </c>
      <c r="G34" s="471"/>
      <c r="H34" s="470" t="s">
        <v>353</v>
      </c>
      <c r="I34" s="471"/>
      <c r="J34" s="204"/>
      <c r="K34" s="20"/>
    </row>
    <row r="35" spans="1:11">
      <c r="A35" s="240"/>
      <c r="B35" s="518" t="str">
        <f>IF($K$3&gt;=2017,"Calendar Year "&amp;TEXT($K$3,"0"),"")</f>
        <v>Calendar Year 2024</v>
      </c>
      <c r="C35" s="519"/>
      <c r="D35" s="460">
        <v>0</v>
      </c>
      <c r="E35" s="461"/>
      <c r="F35" s="462">
        <f>IF(B35&lt;&gt;"",+D35*0.2,0)</f>
        <v>0</v>
      </c>
      <c r="G35" s="463"/>
      <c r="H35" s="462">
        <f>IF(F35&gt;0,+IF(TC_8&gt;F35,F35,TC_8),0)</f>
        <v>0</v>
      </c>
      <c r="I35" s="463"/>
      <c r="J35" s="251"/>
    </row>
    <row r="36" spans="1:11">
      <c r="A36" s="240"/>
      <c r="B36" s="518" t="str">
        <f>IF($K$3&gt;=2018,"Calendar Year "&amp;TEXT($K$3-1,"0"),"")</f>
        <v>Calendar Year 2023</v>
      </c>
      <c r="C36" s="519"/>
      <c r="D36" s="524">
        <v>0</v>
      </c>
      <c r="E36" s="525"/>
      <c r="F36" s="462">
        <f>IF(B36&lt;&gt;"",+D36*0.2,0)</f>
        <v>0</v>
      </c>
      <c r="G36" s="463"/>
      <c r="H36" s="462">
        <f>IF(F36&gt;0,IF(TC_8-$H$35&gt;F36,F36,TC_8-$H$35),0)</f>
        <v>0</v>
      </c>
      <c r="I36" s="463"/>
      <c r="J36" s="251"/>
    </row>
    <row r="37" spans="1:11">
      <c r="A37" s="240"/>
      <c r="B37" s="518" t="str">
        <f>IF($K$3&gt;=2019,"Calendar Year "&amp;TEXT($K$3-2,"0"),"")</f>
        <v>Calendar Year 2022</v>
      </c>
      <c r="C37" s="519"/>
      <c r="D37" s="460">
        <v>0</v>
      </c>
      <c r="E37" s="461"/>
      <c r="F37" s="462">
        <f>IF(B37&lt;&gt;"",+D37*0.2,0)</f>
        <v>0</v>
      </c>
      <c r="G37" s="463"/>
      <c r="H37" s="462">
        <f>IF(F37&gt;0,IF(TC_8-SUM($H$35:$I$36)&gt;F37,F37,TC_8-SUM($H$35:$I$36)),0)</f>
        <v>0</v>
      </c>
      <c r="I37" s="463"/>
      <c r="J37" s="251"/>
    </row>
    <row r="38" spans="1:11">
      <c r="A38" s="240"/>
      <c r="B38" s="518" t="str">
        <f>IF($K$3&gt;=2020,"Calendar Year "&amp;TEXT($K$3-3,"0"),"")</f>
        <v>Calendar Year 2021</v>
      </c>
      <c r="C38" s="519"/>
      <c r="D38" s="460">
        <v>0</v>
      </c>
      <c r="E38" s="461"/>
      <c r="F38" s="462">
        <f>IF(B38&lt;&gt;"",+D38*0.2,0)</f>
        <v>0</v>
      </c>
      <c r="G38" s="463"/>
      <c r="H38" s="462">
        <f>IF(F38&gt;0,IF(TC_8-SUM($H$35:$I$37)&gt;F38,F38,TC_8-SUM($H$35:$I$37)),0)</f>
        <v>0</v>
      </c>
      <c r="I38" s="463"/>
      <c r="J38" s="251"/>
    </row>
    <row r="39" spans="1:11">
      <c r="A39" s="240"/>
      <c r="B39" s="518" t="str">
        <f>IF($K$3&gt;=2021,"Calendar Year "&amp;TEXT($K$3-4,"0"),"")</f>
        <v>Calendar Year 2020</v>
      </c>
      <c r="C39" s="519"/>
      <c r="D39" s="460">
        <v>0</v>
      </c>
      <c r="E39" s="461"/>
      <c r="F39" s="462">
        <f>IF(B39&lt;&gt;"",+D39*0.2,0)</f>
        <v>0</v>
      </c>
      <c r="G39" s="463"/>
      <c r="H39" s="462">
        <f>IF(F39&gt;0,IF(TC_8-SUM($H$35:$I$38)&gt;F39,F39,TC_8-SUM($H$35:$I$38)),0)</f>
        <v>0</v>
      </c>
      <c r="I39" s="463"/>
      <c r="J39" s="251"/>
    </row>
    <row r="40" spans="1:11">
      <c r="A40" s="240"/>
      <c r="B40" s="241"/>
      <c r="D40" s="255"/>
      <c r="E40" s="241" t="s">
        <v>539</v>
      </c>
      <c r="F40" s="520" t="s">
        <v>347</v>
      </c>
      <c r="G40" s="521"/>
      <c r="H40" s="522">
        <f>+SUM(H35:I39)</f>
        <v>0</v>
      </c>
      <c r="I40" s="523"/>
      <c r="J40" s="251"/>
    </row>
    <row r="41" spans="1:11">
      <c r="A41" s="253" t="s">
        <v>346</v>
      </c>
      <c r="B41" s="487" t="s">
        <v>554</v>
      </c>
      <c r="C41" s="487"/>
      <c r="D41" s="249"/>
      <c r="E41" s="249"/>
      <c r="F41" s="250"/>
      <c r="G41" s="254"/>
      <c r="H41" s="490">
        <f>TC_8-SUM(H35:H39)</f>
        <v>0</v>
      </c>
      <c r="I41" s="491"/>
      <c r="J41" s="246"/>
      <c r="K41" s="246"/>
    </row>
    <row r="42" spans="1:11" ht="23.25" customHeight="1">
      <c r="A42" s="244"/>
      <c r="B42" s="475"/>
      <c r="C42" s="475"/>
      <c r="D42" s="245"/>
      <c r="E42" s="245"/>
      <c r="F42" s="246"/>
      <c r="G42" s="246"/>
      <c r="H42" s="246"/>
      <c r="I42" s="246"/>
      <c r="J42" s="246"/>
      <c r="K42" s="246"/>
    </row>
    <row r="43" spans="1:11">
      <c r="A43" s="476" t="s">
        <v>356</v>
      </c>
      <c r="B43" s="477"/>
      <c r="C43" s="477"/>
      <c r="D43" s="477"/>
      <c r="E43" s="477"/>
      <c r="F43" s="478"/>
      <c r="G43" s="478"/>
      <c r="H43" s="478"/>
      <c r="I43" s="478"/>
      <c r="J43" s="478"/>
      <c r="K43" s="478"/>
    </row>
    <row r="44" spans="1:11" ht="3" customHeight="1">
      <c r="A44" s="244"/>
      <c r="B44" s="475"/>
      <c r="C44" s="475"/>
      <c r="D44" s="245"/>
      <c r="E44" s="245"/>
      <c r="F44" s="246"/>
      <c r="G44" s="246"/>
      <c r="H44" s="246"/>
      <c r="I44" s="246"/>
      <c r="J44" s="246"/>
      <c r="K44" s="246"/>
    </row>
    <row r="45" spans="1:11" ht="26" customHeight="1">
      <c r="A45" s="312" t="s">
        <v>348</v>
      </c>
      <c r="B45" s="311" t="s">
        <v>570</v>
      </c>
      <c r="C45" s="310"/>
      <c r="D45" s="516" t="s">
        <v>578</v>
      </c>
      <c r="E45" s="516"/>
      <c r="F45" s="516"/>
      <c r="G45" s="517"/>
      <c r="H45" s="509">
        <f>MAX(0,_VT)</f>
        <v>0</v>
      </c>
      <c r="I45" s="513"/>
      <c r="J45" s="246"/>
      <c r="K45" s="246"/>
    </row>
    <row r="46" spans="1:11">
      <c r="A46" s="248" t="s">
        <v>350</v>
      </c>
      <c r="B46" s="472" t="s">
        <v>589</v>
      </c>
      <c r="C46" s="473"/>
      <c r="D46" s="511"/>
      <c r="E46" s="511"/>
      <c r="F46" s="511"/>
      <c r="G46" s="512"/>
      <c r="H46" s="509">
        <f>MAX(0,_F2T)</f>
        <v>0</v>
      </c>
      <c r="I46" s="513"/>
      <c r="J46" s="246"/>
      <c r="K46" s="246"/>
    </row>
    <row r="47" spans="1:11">
      <c r="A47" s="248" t="s">
        <v>355</v>
      </c>
      <c r="B47" s="472" t="s">
        <v>588</v>
      </c>
      <c r="C47" s="473"/>
      <c r="D47" s="511"/>
      <c r="E47" s="511"/>
      <c r="F47" s="511"/>
      <c r="G47" s="512"/>
      <c r="H47" s="509">
        <f>MAX(0,_F1T)</f>
        <v>0</v>
      </c>
      <c r="I47" s="513"/>
      <c r="J47" s="246"/>
      <c r="K47" s="246"/>
    </row>
    <row r="48" spans="1:11">
      <c r="A48" s="253" t="s">
        <v>357</v>
      </c>
      <c r="B48" s="486" t="s">
        <v>579</v>
      </c>
      <c r="C48" s="487"/>
      <c r="D48" s="488"/>
      <c r="E48" s="488"/>
      <c r="F48" s="488"/>
      <c r="G48" s="489"/>
      <c r="H48" s="514">
        <f>+SUM(H46:I47)</f>
        <v>0</v>
      </c>
      <c r="I48" s="515"/>
      <c r="J48" s="246"/>
      <c r="K48" s="246"/>
    </row>
    <row r="49" spans="1:11">
      <c r="A49" s="253" t="s">
        <v>358</v>
      </c>
      <c r="B49" s="486" t="s">
        <v>555</v>
      </c>
      <c r="C49" s="487"/>
      <c r="D49" s="488"/>
      <c r="E49" s="488"/>
      <c r="F49" s="488"/>
      <c r="G49" s="489"/>
      <c r="H49" s="490">
        <f>MAX(0,+H41-H48)</f>
        <v>0</v>
      </c>
      <c r="I49" s="491"/>
      <c r="J49" s="246"/>
      <c r="K49" s="246"/>
    </row>
    <row r="50" spans="1:11">
      <c r="A50" s="476" t="s">
        <v>543</v>
      </c>
      <c r="B50" s="477"/>
      <c r="C50" s="477"/>
      <c r="D50" s="477"/>
      <c r="E50" s="477"/>
      <c r="F50" s="478"/>
      <c r="G50" s="478"/>
      <c r="H50" s="478"/>
      <c r="I50" s="478"/>
      <c r="J50" s="478"/>
      <c r="K50" s="478"/>
    </row>
    <row r="51" spans="1:11" ht="3" customHeight="1">
      <c r="A51" s="244"/>
      <c r="B51" s="475"/>
      <c r="C51" s="475"/>
      <c r="D51" s="245"/>
      <c r="E51" s="245"/>
      <c r="F51" s="293"/>
      <c r="G51" s="293"/>
      <c r="H51" s="293"/>
      <c r="I51" s="293"/>
      <c r="J51" s="293"/>
      <c r="K51" s="293"/>
    </row>
    <row r="52" spans="1:11" ht="17.25" customHeight="1">
      <c r="A52" s="298" t="s">
        <v>359</v>
      </c>
      <c r="B52" s="496" t="s">
        <v>545</v>
      </c>
      <c r="C52" s="497"/>
      <c r="D52" s="497"/>
      <c r="E52" s="497"/>
      <c r="F52" s="497"/>
      <c r="G52" s="497"/>
      <c r="H52" s="497"/>
      <c r="I52" s="497"/>
      <c r="J52" s="497"/>
      <c r="K52" s="498"/>
    </row>
    <row r="53" spans="1:11" s="230" customFormat="1">
      <c r="A53" s="252"/>
      <c r="B53" s="479" t="str">
        <f>IF(AND(H54&gt;0,H54&gt;H49),"ERROR: Credit Taken &gt; Remaining Credit-eligible Tax",+IF(SUM(H54:I54)&gt;SUM(D54:G54),"ERROR: Credit Taken &gt; Unused Credit ",""))</f>
        <v/>
      </c>
      <c r="C53" s="480"/>
      <c r="D53" s="470" t="str">
        <f>+"Unused from "&amp;TEXT($K$3-5,"0000")</f>
        <v>Unused from 2019</v>
      </c>
      <c r="E53" s="471"/>
      <c r="F53" s="470" t="str">
        <f>"Unused from "&amp;TEXT($K$3-4,"0000")&amp;"-"&amp;TEXT($K$3-1,"0000")</f>
        <v>Unused from 2020-2023</v>
      </c>
      <c r="G53" s="471"/>
      <c r="H53" s="470" t="s">
        <v>365</v>
      </c>
      <c r="I53" s="471"/>
      <c r="J53" s="470" t="s">
        <v>366</v>
      </c>
      <c r="K53" s="471"/>
    </row>
    <row r="54" spans="1:11">
      <c r="A54" s="240"/>
      <c r="B54" s="256"/>
      <c r="C54" s="241" t="s">
        <v>354</v>
      </c>
      <c r="D54" s="509"/>
      <c r="E54" s="510"/>
      <c r="F54" s="460"/>
      <c r="G54" s="461"/>
      <c r="H54" s="460"/>
      <c r="I54" s="461"/>
      <c r="J54" s="507">
        <f>IF(+IF(H54&gt;D54-F54,IF(D54+F54-H54&lt;F54,D54+F54-H54,F54),F54)&gt;0,+IF(H54&gt;D54-F54,IF(D54+F54-H54&lt;F54,D54+F54-H54,F54),F54),0)</f>
        <v>0</v>
      </c>
      <c r="K54" s="508"/>
    </row>
    <row r="55" spans="1:11">
      <c r="A55" s="253" t="s">
        <v>360</v>
      </c>
      <c r="B55" s="486" t="s">
        <v>556</v>
      </c>
      <c r="C55" s="487"/>
      <c r="D55" s="488"/>
      <c r="E55" s="488"/>
      <c r="F55" s="488"/>
      <c r="G55" s="489"/>
      <c r="H55" s="490">
        <f>MAX(0,+H49-H54)</f>
        <v>0</v>
      </c>
      <c r="I55" s="491"/>
      <c r="J55" s="294"/>
      <c r="K55" s="295"/>
    </row>
    <row r="56" spans="1:11" ht="30.75" customHeight="1">
      <c r="A56" s="298" t="s">
        <v>361</v>
      </c>
      <c r="B56" s="506" t="str">
        <f>"Affordable Housing Tax credit earned during "&amp;TEXT($K$3,"0000")&amp;".  Provide a copy of your eligibility statement provided by the Arizona Department of Housing that fulfills ARS § 41-3954."</f>
        <v>Affordable Housing Tax credit earned during 2024.  Provide a copy of your eligibility statement provided by the Arizona Department of Housing that fulfills ARS § 41-3954.</v>
      </c>
      <c r="C56" s="407"/>
      <c r="D56" s="407"/>
      <c r="E56" s="407"/>
      <c r="F56" s="407"/>
      <c r="G56" s="407"/>
      <c r="H56" s="407"/>
      <c r="I56" s="407"/>
      <c r="J56" s="407"/>
      <c r="K56" s="378"/>
    </row>
    <row r="57" spans="1:11" s="230" customFormat="1">
      <c r="A57" s="252"/>
      <c r="B57" s="469" t="str">
        <f>IF(AND(H58&gt;0,H58&gt;H55),"ERROR: Taken &gt; Remaining tax eligible for credit",+IF(H58&gt;F58,"ERROR: Credit Taken &gt; Credit Earned ",""))</f>
        <v/>
      </c>
      <c r="C57" s="492"/>
      <c r="D57" s="492"/>
      <c r="E57" s="493"/>
      <c r="F57" s="470" t="str">
        <f>"Credit Earned in "&amp;TEXT($K$3,"0000")</f>
        <v>Credit Earned in 2024</v>
      </c>
      <c r="G57" s="471"/>
      <c r="H57" s="470" t="str">
        <f>TEXT($K$3,"0000")&amp;" Credit Taken"</f>
        <v>2024 Credit Taken</v>
      </c>
      <c r="I57" s="471"/>
      <c r="J57" s="470" t="s">
        <v>366</v>
      </c>
      <c r="K57" s="471"/>
    </row>
    <row r="58" spans="1:11">
      <c r="A58" s="240"/>
      <c r="B58" s="256"/>
      <c r="C58" s="458" t="s">
        <v>354</v>
      </c>
      <c r="D58" s="484"/>
      <c r="E58" s="485"/>
      <c r="F58" s="460"/>
      <c r="G58" s="461"/>
      <c r="H58" s="460"/>
      <c r="I58" s="461"/>
      <c r="J58" s="507">
        <f>+IF(F58&gt;H58,F58-H58,0)</f>
        <v>0</v>
      </c>
      <c r="K58" s="508"/>
    </row>
    <row r="59" spans="1:11">
      <c r="A59" s="253" t="s">
        <v>544</v>
      </c>
      <c r="B59" s="486" t="s">
        <v>557</v>
      </c>
      <c r="C59" s="487"/>
      <c r="D59" s="488"/>
      <c r="E59" s="488"/>
      <c r="F59" s="488"/>
      <c r="G59" s="489"/>
      <c r="H59" s="490">
        <f>MAX(0,+H55-H58)</f>
        <v>0</v>
      </c>
      <c r="I59" s="491"/>
      <c r="J59" s="293"/>
      <c r="K59" s="293"/>
    </row>
    <row r="60" spans="1:11">
      <c r="A60" s="244"/>
      <c r="B60" s="245"/>
      <c r="C60" s="245"/>
      <c r="D60" s="245"/>
      <c r="E60" s="245"/>
      <c r="F60" s="293"/>
      <c r="G60" s="293"/>
      <c r="H60" s="293"/>
      <c r="I60" s="293"/>
      <c r="J60" s="293"/>
      <c r="K60" s="296"/>
    </row>
    <row r="61" spans="1:11">
      <c r="A61" s="253" t="s">
        <v>547</v>
      </c>
      <c r="B61" s="486" t="s">
        <v>558</v>
      </c>
      <c r="C61" s="487"/>
      <c r="D61" s="488"/>
      <c r="E61" s="488"/>
      <c r="F61" s="488"/>
      <c r="G61" s="489"/>
      <c r="H61" s="490">
        <f>MAX(0,+H59)</f>
        <v>0</v>
      </c>
      <c r="I61" s="491"/>
      <c r="J61" s="293"/>
      <c r="K61" s="293"/>
    </row>
    <row r="62" spans="1:11">
      <c r="A62" s="244"/>
      <c r="B62" s="245"/>
      <c r="C62" s="245"/>
      <c r="D62" s="245"/>
      <c r="E62" s="245"/>
      <c r="F62" s="246"/>
      <c r="G62" s="246"/>
      <c r="H62" s="246"/>
      <c r="I62" s="246"/>
      <c r="J62" s="246"/>
      <c r="K62" s="247" t="str">
        <f>+K24</f>
        <v>2024 |  (</v>
      </c>
    </row>
    <row r="63" spans="1:11">
      <c r="A63" s="476" t="s">
        <v>362</v>
      </c>
      <c r="B63" s="477"/>
      <c r="C63" s="477"/>
      <c r="D63" s="477"/>
      <c r="E63" s="477"/>
      <c r="F63" s="478"/>
      <c r="G63" s="478"/>
      <c r="H63" s="478"/>
      <c r="I63" s="478"/>
      <c r="J63" s="478"/>
      <c r="K63" s="478"/>
    </row>
    <row r="64" spans="1:11" ht="3" customHeight="1">
      <c r="A64" s="244"/>
      <c r="B64" s="475"/>
      <c r="C64" s="475"/>
      <c r="D64" s="245"/>
      <c r="E64" s="245"/>
      <c r="F64" s="246"/>
      <c r="G64" s="246"/>
      <c r="H64" s="246"/>
      <c r="I64" s="246"/>
      <c r="J64" s="246"/>
      <c r="K64" s="246"/>
    </row>
    <row r="65" spans="1:11" ht="17.25" customHeight="1">
      <c r="A65" s="299" t="s">
        <v>548</v>
      </c>
      <c r="B65" s="464" t="s">
        <v>364</v>
      </c>
      <c r="C65" s="465"/>
      <c r="D65" s="465"/>
      <c r="E65" s="465"/>
      <c r="F65" s="465"/>
      <c r="G65" s="465"/>
      <c r="H65" s="465"/>
      <c r="I65" s="465"/>
      <c r="J65" s="465"/>
      <c r="K65" s="466"/>
    </row>
    <row r="66" spans="1:11" s="230" customFormat="1">
      <c r="A66" s="252"/>
      <c r="B66" s="479" t="str">
        <f>IF(AND(H67&gt;0,H67&gt;H49),"ERROR: Credit Taken &gt; Remaining Credit-eligible Tax",+IF(SUM(H67:I67)&gt;SUM(D67:G67),"ERROR: Credit Taken &gt; Unused Credit ",""))</f>
        <v/>
      </c>
      <c r="C66" s="480"/>
      <c r="D66" s="470" t="str">
        <f>+"Unused from "&amp;TEXT($K$3-5,"0000")</f>
        <v>Unused from 2019</v>
      </c>
      <c r="E66" s="471"/>
      <c r="F66" s="470" t="str">
        <f>"Unused from "&amp;TEXT($K$3-4,"0000")&amp;"-"&amp;TEXT($K$3-1,"0000")</f>
        <v>Unused from 2020-2023</v>
      </c>
      <c r="G66" s="471"/>
      <c r="H66" s="470" t="s">
        <v>365</v>
      </c>
      <c r="I66" s="471"/>
      <c r="J66" s="470" t="s">
        <v>366</v>
      </c>
      <c r="K66" s="471"/>
    </row>
    <row r="67" spans="1:11">
      <c r="A67" s="240"/>
      <c r="B67" s="256"/>
      <c r="C67" s="241" t="s">
        <v>546</v>
      </c>
      <c r="D67" s="460"/>
      <c r="E67" s="461"/>
      <c r="F67" s="460"/>
      <c r="G67" s="461"/>
      <c r="H67" s="460"/>
      <c r="I67" s="461"/>
      <c r="J67" s="462">
        <f>IF(+IF(H67&gt;D67-F67,IF(D67+F67-H67&lt;F67,D67+F67-H67,F67),F67)&gt;0,+IF(H67&gt;D67-F67,IF(D67+F67-H67&lt;F67,D67+F67-H67,F67),F67),0)</f>
        <v>0</v>
      </c>
      <c r="K67" s="463"/>
    </row>
    <row r="68" spans="1:11">
      <c r="A68" s="253" t="s">
        <v>549</v>
      </c>
      <c r="B68" s="486" t="s">
        <v>580</v>
      </c>
      <c r="C68" s="487"/>
      <c r="D68" s="488"/>
      <c r="E68" s="488"/>
      <c r="F68" s="488"/>
      <c r="G68" s="489"/>
      <c r="H68" s="490">
        <f>MAX(0,+TC_20-H67-tc_11)</f>
        <v>0</v>
      </c>
      <c r="I68" s="491"/>
      <c r="J68" s="257"/>
      <c r="K68" s="250"/>
    </row>
    <row r="69" spans="1:11" ht="30.75" customHeight="1">
      <c r="A69" s="299" t="s">
        <v>550</v>
      </c>
      <c r="B69" s="503" t="str">
        <f>"Quality Jobs Tax credit earned during "&amp;TEXT($K$3,"0000")&amp;".  Provide the 'Credit Allocation Letter' issued by the Arizona Commerce Authority.  See the Arizona Commerce Authority Web site (www.azcommerce.com) for instructions on how to apply for this credit."</f>
        <v>Quality Jobs Tax credit earned during 2024.  Provide the 'Credit Allocation Letter' issued by the Arizona Commerce Authority.  See the Arizona Commerce Authority Web site (www.azcommerce.com) for instructions on how to apply for this credit.</v>
      </c>
      <c r="C69" s="504"/>
      <c r="D69" s="504"/>
      <c r="E69" s="504"/>
      <c r="F69" s="504"/>
      <c r="G69" s="504"/>
      <c r="H69" s="504"/>
      <c r="I69" s="504"/>
      <c r="J69" s="504"/>
      <c r="K69" s="505"/>
    </row>
    <row r="70" spans="1:11" s="230" customFormat="1">
      <c r="A70" s="252"/>
      <c r="B70" s="469" t="str">
        <f>IF(AND(H71&gt;0,H71&gt;H68),"ERROR: Taken &gt; Remaining tax eligible for credit",+IF(H71&gt;F71,"ERROR: Credit Taken &gt; Credit Earned ",""))</f>
        <v/>
      </c>
      <c r="C70" s="492"/>
      <c r="D70" s="492"/>
      <c r="E70" s="493"/>
      <c r="F70" s="470" t="str">
        <f>"Credit Earned in "&amp;TEXT($K$3,"0000")</f>
        <v>Credit Earned in 2024</v>
      </c>
      <c r="G70" s="471"/>
      <c r="H70" s="470" t="str">
        <f>TEXT($K$3,"0000")&amp;" Credit Taken"</f>
        <v>2024 Credit Taken</v>
      </c>
      <c r="I70" s="471"/>
      <c r="J70" s="470" t="s">
        <v>366</v>
      </c>
      <c r="K70" s="471"/>
    </row>
    <row r="71" spans="1:11">
      <c r="A71" s="240"/>
      <c r="B71" s="256"/>
      <c r="C71" s="458" t="s">
        <v>546</v>
      </c>
      <c r="D71" s="484"/>
      <c r="E71" s="485"/>
      <c r="F71" s="460"/>
      <c r="G71" s="461"/>
      <c r="H71" s="460"/>
      <c r="I71" s="461"/>
      <c r="J71" s="462">
        <f>+IF(F71&gt;H71,F71-H71,0)</f>
        <v>0</v>
      </c>
      <c r="K71" s="463"/>
    </row>
    <row r="72" spans="1:11">
      <c r="A72" s="253" t="s">
        <v>363</v>
      </c>
      <c r="B72" s="486" t="s">
        <v>581</v>
      </c>
      <c r="C72" s="487"/>
      <c r="D72" s="488"/>
      <c r="E72" s="488"/>
      <c r="F72" s="488"/>
      <c r="G72" s="489"/>
      <c r="H72" s="490">
        <f>MAX(0,+H68-H71+tc_11)</f>
        <v>0</v>
      </c>
      <c r="I72" s="491"/>
      <c r="J72" s="246"/>
      <c r="K72" s="246"/>
    </row>
    <row r="73" spans="1:11" ht="23.25" customHeight="1">
      <c r="A73" s="244"/>
      <c r="B73" s="475"/>
      <c r="C73" s="475"/>
      <c r="D73" s="245"/>
      <c r="E73" s="245"/>
      <c r="F73" s="246"/>
      <c r="G73" s="246"/>
      <c r="H73" s="246"/>
      <c r="I73" s="246"/>
      <c r="J73" s="246"/>
      <c r="K73" s="246"/>
    </row>
    <row r="74" spans="1:11">
      <c r="A74" s="476" t="s">
        <v>371</v>
      </c>
      <c r="B74" s="477"/>
      <c r="C74" s="477"/>
      <c r="D74" s="477"/>
      <c r="E74" s="477"/>
      <c r="F74" s="478"/>
      <c r="G74" s="478"/>
      <c r="H74" s="478"/>
      <c r="I74" s="478"/>
      <c r="J74" s="478"/>
      <c r="K74" s="478"/>
    </row>
    <row r="75" spans="1:11" ht="3" customHeight="1">
      <c r="A75" s="244"/>
      <c r="B75" s="475"/>
      <c r="C75" s="475"/>
      <c r="D75" s="245"/>
      <c r="E75" s="245"/>
      <c r="F75" s="246"/>
      <c r="G75" s="246"/>
      <c r="H75" s="246"/>
      <c r="I75" s="246"/>
      <c r="J75" s="246"/>
      <c r="K75" s="246"/>
    </row>
    <row r="76" spans="1:11" ht="17.25" customHeight="1">
      <c r="A76" s="299" t="s">
        <v>368</v>
      </c>
      <c r="B76" s="464" t="s">
        <v>373</v>
      </c>
      <c r="C76" s="465"/>
      <c r="D76" s="465"/>
      <c r="E76" s="465"/>
      <c r="F76" s="465"/>
      <c r="G76" s="465"/>
      <c r="H76" s="465"/>
      <c r="I76" s="465"/>
      <c r="J76" s="465"/>
      <c r="K76" s="466"/>
    </row>
    <row r="77" spans="1:11" s="230" customFormat="1">
      <c r="A77" s="258"/>
      <c r="B77" s="499" t="str">
        <f>IF(AND(H78&gt;0,H78&gt;H72),"ERROR: Credit Taken &gt; Remaining Credit-eligible Tax",+IF(SUM(H78:I78)&gt;SUM(D78:G78),"ERROR: Credit Taken &gt; Unused Credit ",""))</f>
        <v/>
      </c>
      <c r="C77" s="500"/>
      <c r="D77" s="501" t="str">
        <f>+"Unused from "&amp;TEXT($K$3-5,"0000")</f>
        <v>Unused from 2019</v>
      </c>
      <c r="E77" s="502"/>
      <c r="F77" s="501" t="str">
        <f>"Unused from "&amp;TEXT($K$3-4,"0000")&amp;"-"&amp;TEXT($K$3-1,"0000")</f>
        <v>Unused from 2020-2023</v>
      </c>
      <c r="G77" s="502"/>
      <c r="H77" s="501" t="s">
        <v>365</v>
      </c>
      <c r="I77" s="502"/>
      <c r="J77" s="501" t="s">
        <v>366</v>
      </c>
      <c r="K77" s="502"/>
    </row>
    <row r="78" spans="1:11">
      <c r="A78" s="240"/>
      <c r="B78" s="256"/>
      <c r="C78" s="241" t="s">
        <v>367</v>
      </c>
      <c r="D78" s="460"/>
      <c r="E78" s="461"/>
      <c r="F78" s="460"/>
      <c r="G78" s="461"/>
      <c r="H78" s="460"/>
      <c r="I78" s="461"/>
      <c r="J78" s="462">
        <f>IF(+IF(H78&gt;D78-F78,IF(D78+F78-H78&lt;F78,D78+F78-H78,F78),F78)&gt;0,+IF(H78&gt;D78-F78,IF(D78+F78-H78&lt;F78,D78+F78-H78,F78),F78),0)</f>
        <v>0</v>
      </c>
      <c r="K78" s="463"/>
    </row>
    <row r="79" spans="1:11">
      <c r="A79" s="253" t="s">
        <v>369</v>
      </c>
      <c r="B79" s="486" t="s">
        <v>559</v>
      </c>
      <c r="C79" s="487"/>
      <c r="D79" s="488"/>
      <c r="E79" s="488"/>
      <c r="F79" s="488"/>
      <c r="G79" s="489"/>
      <c r="H79" s="490">
        <f>MAX(0,+H72-H78)</f>
        <v>0</v>
      </c>
      <c r="I79" s="491"/>
      <c r="J79" s="257"/>
      <c r="K79" s="250"/>
    </row>
    <row r="80" spans="1:11" ht="30.75" customHeight="1">
      <c r="A80" s="299" t="s">
        <v>370</v>
      </c>
      <c r="B80" s="464" t="str">
        <f>"STO Low-income Student credit earned during "&amp;TEXT($K$3,"0000")&amp;".  Attach the Department of Revenue approval for the contribution to be made during "&amp;TEXT($K$3,"0000")&amp;" and a copy of the contribution payment issued to the STO during "&amp;TEXT($K$3,"0000")&amp;"."</f>
        <v>STO Low-income Student credit earned during 2024.  Attach the Department of Revenue approval for the contribution to be made during 2024 and a copy of the contribution payment issued to the STO during 2024.</v>
      </c>
      <c r="C80" s="465"/>
      <c r="D80" s="465"/>
      <c r="E80" s="465"/>
      <c r="F80" s="465"/>
      <c r="G80" s="465"/>
      <c r="H80" s="465"/>
      <c r="I80" s="465"/>
      <c r="J80" s="465"/>
      <c r="K80" s="466"/>
    </row>
    <row r="81" spans="1:11" s="230" customFormat="1">
      <c r="A81" s="252"/>
      <c r="B81" s="469" t="str">
        <f>IF(AND(H82&gt;0,H82&gt;H79),"ERROR: Taken &gt; Remaining tax eligible for credit",+IF(H82&gt;F82,"ERROR: Credit Taken &gt; Credit Earned ",""))</f>
        <v/>
      </c>
      <c r="C81" s="492"/>
      <c r="D81" s="492"/>
      <c r="E81" s="493"/>
      <c r="F81" s="481" t="str">
        <f>"Credit Earned in "&amp;TEXT($K$3,"0000")</f>
        <v>Credit Earned in 2024</v>
      </c>
      <c r="G81" s="482"/>
      <c r="H81" s="481" t="str">
        <f>TEXT($K$3,"0000")&amp;" Credit Taken"</f>
        <v>2024 Credit Taken</v>
      </c>
      <c r="I81" s="482"/>
      <c r="J81" s="470" t="s">
        <v>366</v>
      </c>
      <c r="K81" s="471"/>
    </row>
    <row r="82" spans="1:11">
      <c r="A82" s="240"/>
      <c r="B82" s="256"/>
      <c r="C82" s="458" t="s">
        <v>367</v>
      </c>
      <c r="D82" s="484"/>
      <c r="E82" s="485"/>
      <c r="F82" s="460"/>
      <c r="G82" s="461"/>
      <c r="H82" s="460"/>
      <c r="I82" s="461"/>
      <c r="J82" s="462">
        <f>+IF(F82&gt;H82,F82-H82,0)</f>
        <v>0</v>
      </c>
      <c r="K82" s="463"/>
    </row>
    <row r="83" spans="1:11">
      <c r="A83" s="253" t="s">
        <v>372</v>
      </c>
      <c r="B83" s="486" t="s">
        <v>560</v>
      </c>
      <c r="C83" s="487"/>
      <c r="D83" s="488"/>
      <c r="E83" s="488"/>
      <c r="F83" s="488"/>
      <c r="G83" s="489"/>
      <c r="H83" s="490">
        <f>MAX(0,+H79-H82)</f>
        <v>0</v>
      </c>
      <c r="I83" s="491"/>
      <c r="J83" s="246"/>
      <c r="K83" s="246"/>
    </row>
    <row r="84" spans="1:11">
      <c r="A84" s="253" t="s">
        <v>375</v>
      </c>
      <c r="B84" s="486" t="s">
        <v>561</v>
      </c>
      <c r="C84" s="487"/>
      <c r="D84" s="488"/>
      <c r="E84" s="488"/>
      <c r="F84" s="488"/>
      <c r="G84" s="489"/>
      <c r="H84" s="490">
        <f>MAX(0,+H83)</f>
        <v>0</v>
      </c>
      <c r="I84" s="491"/>
      <c r="J84" s="246"/>
      <c r="K84" s="246"/>
    </row>
    <row r="85" spans="1:11" ht="23.25" customHeight="1">
      <c r="A85" s="244"/>
      <c r="B85" s="475"/>
      <c r="C85" s="475"/>
      <c r="D85" s="245"/>
      <c r="E85" s="245"/>
      <c r="F85" s="246"/>
      <c r="G85" s="246"/>
      <c r="H85" s="246"/>
      <c r="I85" s="246"/>
      <c r="J85" s="246"/>
      <c r="K85" s="259"/>
    </row>
    <row r="86" spans="1:11">
      <c r="A86" s="476" t="s">
        <v>379</v>
      </c>
      <c r="B86" s="477"/>
      <c r="C86" s="477"/>
      <c r="D86" s="477"/>
      <c r="E86" s="477"/>
      <c r="F86" s="478"/>
      <c r="G86" s="478"/>
      <c r="H86" s="478"/>
      <c r="I86" s="478"/>
      <c r="J86" s="478"/>
      <c r="K86" s="478"/>
    </row>
    <row r="87" spans="1:11" ht="3" customHeight="1">
      <c r="A87" s="244"/>
      <c r="B87" s="475"/>
      <c r="C87" s="475"/>
      <c r="D87" s="245"/>
      <c r="E87" s="245"/>
      <c r="F87" s="246"/>
      <c r="G87" s="246"/>
      <c r="H87" s="246"/>
      <c r="I87" s="246"/>
      <c r="J87" s="246"/>
      <c r="K87" s="246"/>
    </row>
    <row r="88" spans="1:11" ht="17.25" customHeight="1">
      <c r="A88" s="298" t="s">
        <v>376</v>
      </c>
      <c r="B88" s="496" t="s">
        <v>381</v>
      </c>
      <c r="C88" s="497"/>
      <c r="D88" s="497"/>
      <c r="E88" s="497"/>
      <c r="F88" s="497"/>
      <c r="G88" s="497"/>
      <c r="H88" s="497"/>
      <c r="I88" s="497"/>
      <c r="J88" s="497"/>
      <c r="K88" s="498"/>
    </row>
    <row r="89" spans="1:11" s="230" customFormat="1">
      <c r="A89" s="252"/>
      <c r="B89" s="494" t="str">
        <f>IF(AND(H90&gt;0,H90&gt;H84),"ERROR: Credit Taken &gt; Remaining Credit-eligible Tax",+IF(SUM(H90:I90)&gt;SUM(D90:G90),"ERROR: Credit Taken &gt; Unused Credit ",""))</f>
        <v/>
      </c>
      <c r="C89" s="495"/>
      <c r="D89" s="470" t="str">
        <f>+"Unused from "&amp;TEXT($K$3-5,"0000")</f>
        <v>Unused from 2019</v>
      </c>
      <c r="E89" s="471"/>
      <c r="F89" s="470" t="str">
        <f>"Unused from "&amp;TEXT($K$3-4,"0000")&amp;"-"&amp;TEXT($K$3-1,"0000")</f>
        <v>Unused from 2020-2023</v>
      </c>
      <c r="G89" s="471"/>
      <c r="H89" s="470" t="s">
        <v>365</v>
      </c>
      <c r="I89" s="471"/>
      <c r="J89" s="470" t="s">
        <v>366</v>
      </c>
      <c r="K89" s="471"/>
    </row>
    <row r="90" spans="1:11">
      <c r="A90" s="240"/>
      <c r="B90" s="256"/>
      <c r="C90" s="241" t="s">
        <v>374</v>
      </c>
      <c r="D90" s="460"/>
      <c r="E90" s="461"/>
      <c r="F90" s="460"/>
      <c r="G90" s="461"/>
      <c r="H90" s="460"/>
      <c r="I90" s="461"/>
      <c r="J90" s="462">
        <f>IF(+IF(H90&gt;D90-F90,IF(D90+F90-H90&lt;F90,D90+F90-H90,F90),F90)&gt;0,+IF(H90&gt;D90-F90,IF(D90+F90-H90&lt;F90,D90+F90-H90,F90),F90),0)</f>
        <v>0</v>
      </c>
      <c r="K90" s="463"/>
    </row>
    <row r="91" spans="1:11">
      <c r="A91" s="253" t="s">
        <v>377</v>
      </c>
      <c r="B91" s="486" t="s">
        <v>562</v>
      </c>
      <c r="C91" s="487"/>
      <c r="D91" s="488"/>
      <c r="E91" s="488"/>
      <c r="F91" s="488"/>
      <c r="G91" s="489"/>
      <c r="H91" s="490">
        <f>MAX(0,+H84-H90)</f>
        <v>0</v>
      </c>
      <c r="I91" s="491"/>
      <c r="J91" s="257"/>
      <c r="K91" s="250"/>
    </row>
    <row r="92" spans="1:11" ht="30.75" customHeight="1">
      <c r="A92" s="299" t="s">
        <v>378</v>
      </c>
      <c r="B92" s="464" t="str">
        <f>"STO Disabled/Displaced Student credit earned during "&amp;TEXT($K$3,"0000")&amp;".  Attach the Department of Revenue approval for the contribution to be made during "&amp;TEXT($K$3,"0000")&amp;" and a copy of the contribution payment issued to the STO during "&amp;TEXT($K$3,"0000")&amp;"."</f>
        <v>STO Disabled/Displaced Student credit earned during 2024.  Attach the Department of Revenue approval for the contribution to be made during 2024 and a copy of the contribution payment issued to the STO during 2024.</v>
      </c>
      <c r="C92" s="465"/>
      <c r="D92" s="465"/>
      <c r="E92" s="465"/>
      <c r="F92" s="465"/>
      <c r="G92" s="465"/>
      <c r="H92" s="465"/>
      <c r="I92" s="465"/>
      <c r="J92" s="465"/>
      <c r="K92" s="466"/>
    </row>
    <row r="93" spans="1:11" s="230" customFormat="1">
      <c r="A93" s="252"/>
      <c r="B93" s="469" t="str">
        <f>IF(AND(H94&gt;0,H94&gt;H91),"ERROR: Taken &gt; Remaining tax eligible for credit",+IF(H94&gt;F94,"ERROR: Credit Taken &gt; Credit Earned ",""))</f>
        <v/>
      </c>
      <c r="C93" s="492"/>
      <c r="D93" s="492"/>
      <c r="E93" s="493"/>
      <c r="F93" s="470" t="str">
        <f>"Credit Earned in "&amp;TEXT($K$3,"0000")</f>
        <v>Credit Earned in 2024</v>
      </c>
      <c r="G93" s="471"/>
      <c r="H93" s="470" t="str">
        <f>TEXT($K$3,"0000")&amp;" Credit Taken"</f>
        <v>2024 Credit Taken</v>
      </c>
      <c r="I93" s="471"/>
      <c r="J93" s="470" t="s">
        <v>366</v>
      </c>
      <c r="K93" s="471"/>
    </row>
    <row r="94" spans="1:11">
      <c r="A94" s="240"/>
      <c r="B94" s="256"/>
      <c r="C94" s="458" t="s">
        <v>374</v>
      </c>
      <c r="D94" s="484"/>
      <c r="E94" s="485"/>
      <c r="F94" s="460"/>
      <c r="G94" s="461"/>
      <c r="H94" s="460"/>
      <c r="I94" s="461"/>
      <c r="J94" s="462">
        <f>+IF(F94&gt;H94,F94-H94,0)</f>
        <v>0</v>
      </c>
      <c r="K94" s="463"/>
    </row>
    <row r="95" spans="1:11">
      <c r="A95" s="253" t="s">
        <v>380</v>
      </c>
      <c r="B95" s="486" t="s">
        <v>563</v>
      </c>
      <c r="C95" s="487"/>
      <c r="D95" s="488"/>
      <c r="E95" s="488"/>
      <c r="F95" s="488"/>
      <c r="G95" s="489"/>
      <c r="H95" s="490">
        <f>MAX(0,+H91-H94)</f>
        <v>0</v>
      </c>
      <c r="I95" s="491"/>
      <c r="J95" s="246"/>
      <c r="K95" s="246"/>
    </row>
    <row r="96" spans="1:11" ht="2.25" customHeight="1">
      <c r="A96" s="244"/>
      <c r="B96" s="475"/>
      <c r="C96" s="475"/>
      <c r="D96" s="245"/>
      <c r="E96" s="245"/>
      <c r="F96" s="246"/>
      <c r="G96" s="246"/>
      <c r="H96" s="260"/>
      <c r="I96" s="246"/>
      <c r="J96" s="246"/>
      <c r="K96" s="246"/>
    </row>
    <row r="97" spans="1:11">
      <c r="A97" s="244"/>
      <c r="B97" s="245"/>
      <c r="C97" s="245"/>
      <c r="D97" s="245"/>
      <c r="E97" s="245"/>
      <c r="F97" s="246"/>
      <c r="G97" s="246"/>
      <c r="H97" s="246"/>
      <c r="I97" s="246"/>
      <c r="J97" s="246"/>
      <c r="K97" s="247"/>
    </row>
    <row r="98" spans="1:11">
      <c r="A98" s="476" t="s">
        <v>386</v>
      </c>
      <c r="B98" s="477"/>
      <c r="C98" s="477"/>
      <c r="D98" s="477"/>
      <c r="E98" s="477"/>
      <c r="F98" s="478"/>
      <c r="G98" s="478"/>
      <c r="H98" s="478"/>
      <c r="I98" s="478"/>
      <c r="J98" s="478"/>
      <c r="K98" s="478"/>
    </row>
    <row r="99" spans="1:11" ht="3" customHeight="1">
      <c r="A99" s="244"/>
      <c r="B99" s="475"/>
      <c r="C99" s="475"/>
      <c r="D99" s="245"/>
      <c r="E99" s="245"/>
      <c r="F99" s="246"/>
      <c r="G99" s="246"/>
      <c r="H99" s="246"/>
      <c r="I99" s="246"/>
      <c r="J99" s="246"/>
      <c r="K99" s="246"/>
    </row>
    <row r="100" spans="1:11" ht="17.25" customHeight="1">
      <c r="A100" s="299" t="s">
        <v>383</v>
      </c>
      <c r="B100" s="464" t="s">
        <v>387</v>
      </c>
      <c r="C100" s="465"/>
      <c r="D100" s="465"/>
      <c r="E100" s="465"/>
      <c r="F100" s="465"/>
      <c r="G100" s="465"/>
      <c r="H100" s="465"/>
      <c r="I100" s="465"/>
      <c r="J100" s="465"/>
      <c r="K100" s="466"/>
    </row>
    <row r="101" spans="1:11" s="230" customFormat="1">
      <c r="A101" s="252"/>
      <c r="B101" s="479" t="str">
        <f>IF(AND(H102&gt;0,H102&gt;H95),"ERROR: Credit Taken &gt; Remaining Credit-eligible Tax",+IF(SUM(H102:I102)&gt;SUM(D102:G102),"ERROR: Credit Taken &gt; Unused Credit ",""))</f>
        <v/>
      </c>
      <c r="C101" s="480"/>
      <c r="D101" s="481" t="str">
        <f>+"Unused from "&amp;TEXT($K$3-5,"0000")</f>
        <v>Unused from 2019</v>
      </c>
      <c r="E101" s="482"/>
      <c r="F101" s="481" t="str">
        <f>"Unused from "&amp;TEXT($K$3-4,"0000")&amp;"-"&amp;TEXT($K$3-1,"0000")</f>
        <v>Unused from 2020-2023</v>
      </c>
      <c r="G101" s="482"/>
      <c r="H101" s="470" t="s">
        <v>365</v>
      </c>
      <c r="I101" s="471"/>
      <c r="J101" s="481" t="s">
        <v>366</v>
      </c>
      <c r="K101" s="483"/>
    </row>
    <row r="102" spans="1:11">
      <c r="A102" s="240"/>
      <c r="B102" s="256"/>
      <c r="C102" s="241" t="s">
        <v>382</v>
      </c>
      <c r="D102" s="460"/>
      <c r="E102" s="461"/>
      <c r="F102" s="460"/>
      <c r="G102" s="461"/>
      <c r="H102" s="460"/>
      <c r="I102" s="461"/>
      <c r="J102" s="462">
        <f>IF(+IF(H102&gt;D102-F102,IF(D102+F102-H102&lt;F102,D102+F102-H102,F102),F102)&gt;0,+IF(H102&gt;D102-F102,IF(D102+F102-H102&lt;F102,D102+F102-H102,F102),F102),0)</f>
        <v>0</v>
      </c>
      <c r="K102" s="463"/>
    </row>
    <row r="103" spans="1:11">
      <c r="A103" s="248" t="s">
        <v>384</v>
      </c>
      <c r="B103" s="472" t="s">
        <v>565</v>
      </c>
      <c r="C103" s="473"/>
      <c r="D103" s="473"/>
      <c r="E103" s="473"/>
      <c r="F103" s="473"/>
      <c r="G103" s="474"/>
      <c r="H103" s="460"/>
      <c r="I103" s="461"/>
      <c r="J103" s="261"/>
      <c r="K103" s="262"/>
    </row>
    <row r="104" spans="1:11" ht="30.75" customHeight="1">
      <c r="A104" s="299" t="s">
        <v>385</v>
      </c>
      <c r="B104" s="464" t="str">
        <f>"HIC credit earned during "&amp;TEXT($K$3,"0000")&amp;".  Credit cannot exceed taxable A &amp; H insurance.  Attach Health Insurance Certificates issued by the Arizona Department of Revenue for major health insurance policies to individuals or small businesses during "&amp;TEXT($K$3,"0000")&amp;". "</f>
        <v xml:space="preserve">HIC credit earned during 2024.  Credit cannot exceed taxable A &amp; H insurance.  Attach Health Insurance Certificates issued by the Arizona Department of Revenue for major health insurance policies to individuals or small businesses during 2024. </v>
      </c>
      <c r="C104" s="465"/>
      <c r="D104" s="465"/>
      <c r="E104" s="465"/>
      <c r="F104" s="465"/>
      <c r="G104" s="465"/>
      <c r="H104" s="465"/>
      <c r="I104" s="465"/>
      <c r="J104" s="465"/>
      <c r="K104" s="466"/>
    </row>
    <row r="105" spans="1:11" ht="66.75" customHeight="1">
      <c r="A105" s="263"/>
      <c r="B105" s="264" t="s">
        <v>388</v>
      </c>
      <c r="C105" s="467" t="str">
        <f>"NOTE: To earn credit for "&amp;TEXT($K$3,"0000")&amp;", the insurer, for each insured,  (1) must have received the approved Health Insurance Certificate; (2) must have issued major medical health coverage to the individual or small business during "&amp;TEXT($K$3,"0000")&amp;"; and, (3) must have incurred premium tax liability during "&amp;TEXT($K$3,"0000")&amp;" for the insurance premiums for which the insurer is claiming the health insurance certificate credit, which means this credit is not applicable to tax-exempt premium."</f>
        <v>NOTE: To earn credit for 2024, the insurer, for each insured,  (1) must have received the approved Health Insurance Certificate; (2) must have issued major medical health coverage to the individual or small business during 2024; and, (3) must have incurred premium tax liability during 2024 for the insurance premiums for which the insurer is claiming the health insurance certificate credit, which means this credit is not applicable to tax-exempt premium.</v>
      </c>
      <c r="D105" s="467"/>
      <c r="E105" s="467"/>
      <c r="F105" s="467"/>
      <c r="G105" s="467"/>
      <c r="H105" s="467"/>
      <c r="I105" s="467"/>
      <c r="J105" s="467"/>
      <c r="K105" s="468"/>
    </row>
    <row r="106" spans="1:11" s="230" customFormat="1">
      <c r="A106" s="252"/>
      <c r="B106" s="469" t="str">
        <f>IF(F107&gt;H103,"ERROR: Credit earned cannot exceed Line 35 amount",+IF(H95-H102-H107&lt;0,"ERROR: Prior-year and current-year credits taken cannot exceed Line 33 amount",""))</f>
        <v/>
      </c>
      <c r="C106" s="407"/>
      <c r="D106" s="407"/>
      <c r="E106" s="378"/>
      <c r="F106" s="470" t="str">
        <f>"Credit Earned in "&amp;TEXT($K$3,"0000")</f>
        <v>Credit Earned in 2024</v>
      </c>
      <c r="G106" s="471"/>
      <c r="H106" s="470" t="str">
        <f>TEXT($K$3,"0000")&amp;" Credit Taken"</f>
        <v>2024 Credit Taken</v>
      </c>
      <c r="I106" s="471"/>
      <c r="J106" s="470" t="s">
        <v>366</v>
      </c>
      <c r="K106" s="471"/>
    </row>
    <row r="107" spans="1:11">
      <c r="A107" s="240"/>
      <c r="B107" s="256"/>
      <c r="C107" s="241"/>
      <c r="D107" s="458" t="s">
        <v>382</v>
      </c>
      <c r="E107" s="459"/>
      <c r="F107" s="460"/>
      <c r="G107" s="461"/>
      <c r="H107" s="460"/>
      <c r="I107" s="461"/>
      <c r="J107" s="462">
        <f>+IF(F107&gt;H107,F107-H107,0)</f>
        <v>0</v>
      </c>
      <c r="K107" s="463"/>
    </row>
    <row r="133" spans="21:22" ht="20" hidden="1">
      <c r="U133" s="300" t="s">
        <v>199</v>
      </c>
      <c r="V133" s="300" t="s">
        <v>200</v>
      </c>
    </row>
    <row r="134" spans="21:22" ht="80" hidden="1">
      <c r="U134" s="301" t="s">
        <v>307</v>
      </c>
      <c r="V134" s="301" t="s">
        <v>308</v>
      </c>
    </row>
    <row r="135" spans="21:22" ht="120" hidden="1">
      <c r="U135" s="301" t="s">
        <v>151</v>
      </c>
      <c r="V135" s="301" t="s">
        <v>203</v>
      </c>
    </row>
    <row r="136" spans="21:22" ht="180" hidden="1">
      <c r="U136" s="301" t="s">
        <v>204</v>
      </c>
      <c r="V136" s="301" t="s">
        <v>205</v>
      </c>
    </row>
    <row r="137" spans="21:22" ht="160" hidden="1">
      <c r="U137" s="301" t="s">
        <v>206</v>
      </c>
      <c r="V137" s="301" t="s">
        <v>207</v>
      </c>
    </row>
    <row r="138" spans="21:22" ht="140" hidden="1">
      <c r="U138" s="301" t="s">
        <v>152</v>
      </c>
      <c r="V138" s="301" t="s">
        <v>208</v>
      </c>
    </row>
    <row r="139" spans="21:22" ht="120" hidden="1">
      <c r="U139" s="301" t="s">
        <v>209</v>
      </c>
      <c r="V139" s="301" t="s">
        <v>210</v>
      </c>
    </row>
    <row r="140" spans="21:22" ht="220" hidden="1">
      <c r="U140" s="301" t="s">
        <v>211</v>
      </c>
      <c r="V140" s="301" t="s">
        <v>212</v>
      </c>
    </row>
    <row r="141" spans="21:22" ht="80" hidden="1">
      <c r="U141" s="301" t="s">
        <v>213</v>
      </c>
      <c r="V141" s="301" t="s">
        <v>214</v>
      </c>
    </row>
    <row r="142" spans="21:22" ht="100" hidden="1">
      <c r="U142" s="301" t="s">
        <v>134</v>
      </c>
      <c r="V142" s="301" t="s">
        <v>309</v>
      </c>
    </row>
    <row r="143" spans="21:22" ht="100" hidden="1">
      <c r="U143" s="301" t="s">
        <v>215</v>
      </c>
      <c r="V143" s="301" t="s">
        <v>216</v>
      </c>
    </row>
    <row r="144" spans="21:22" ht="140" hidden="1">
      <c r="U144" s="301" t="s">
        <v>217</v>
      </c>
      <c r="V144" s="301" t="s">
        <v>218</v>
      </c>
    </row>
    <row r="145" spans="21:22" ht="80" hidden="1">
      <c r="U145" s="301" t="s">
        <v>310</v>
      </c>
      <c r="V145" s="301" t="s">
        <v>311</v>
      </c>
    </row>
    <row r="146" spans="21:22" ht="180" hidden="1">
      <c r="U146" s="301" t="s">
        <v>219</v>
      </c>
      <c r="V146" s="301" t="s">
        <v>220</v>
      </c>
    </row>
    <row r="147" spans="21:22" ht="140" hidden="1">
      <c r="U147" s="301" t="s">
        <v>221</v>
      </c>
      <c r="V147" s="301" t="s">
        <v>222</v>
      </c>
    </row>
    <row r="148" spans="21:22" ht="60" hidden="1">
      <c r="U148" s="301" t="s">
        <v>145</v>
      </c>
      <c r="V148" s="301" t="s">
        <v>223</v>
      </c>
    </row>
    <row r="149" spans="21:22" ht="180" hidden="1">
      <c r="U149" s="301" t="s">
        <v>312</v>
      </c>
      <c r="V149" s="301" t="s">
        <v>313</v>
      </c>
    </row>
    <row r="150" spans="21:22" ht="160" hidden="1">
      <c r="U150" s="301" t="s">
        <v>224</v>
      </c>
      <c r="V150" s="301" t="s">
        <v>225</v>
      </c>
    </row>
    <row r="151" spans="21:22" ht="220" hidden="1">
      <c r="U151" s="301" t="s">
        <v>226</v>
      </c>
      <c r="V151" s="301" t="s">
        <v>227</v>
      </c>
    </row>
    <row r="152" spans="21:22" ht="140" hidden="1">
      <c r="U152" s="301" t="s">
        <v>228</v>
      </c>
      <c r="V152" s="301" t="s">
        <v>229</v>
      </c>
    </row>
    <row r="153" spans="21:22" ht="100" hidden="1">
      <c r="U153" s="301" t="s">
        <v>230</v>
      </c>
      <c r="V153" s="301" t="s">
        <v>231</v>
      </c>
    </row>
    <row r="154" spans="21:22" ht="40" hidden="1">
      <c r="U154" s="301" t="s">
        <v>314</v>
      </c>
      <c r="V154" s="301" t="s">
        <v>315</v>
      </c>
    </row>
    <row r="155" spans="21:22" ht="200" hidden="1">
      <c r="U155" s="301" t="s">
        <v>232</v>
      </c>
      <c r="V155" s="301" t="s">
        <v>233</v>
      </c>
    </row>
    <row r="156" spans="21:22" ht="140" hidden="1">
      <c r="U156" s="301" t="s">
        <v>141</v>
      </c>
      <c r="V156" s="301" t="s">
        <v>234</v>
      </c>
    </row>
    <row r="157" spans="21:22" ht="180" hidden="1">
      <c r="U157" s="301" t="s">
        <v>235</v>
      </c>
      <c r="V157" s="301" t="s">
        <v>236</v>
      </c>
    </row>
    <row r="158" spans="21:22" ht="100" hidden="1">
      <c r="U158" s="301" t="s">
        <v>316</v>
      </c>
      <c r="V158" s="301" t="s">
        <v>317</v>
      </c>
    </row>
    <row r="159" spans="21:22" ht="80" hidden="1">
      <c r="U159" s="301" t="s">
        <v>237</v>
      </c>
      <c r="V159" s="301" t="s">
        <v>238</v>
      </c>
    </row>
    <row r="160" spans="21:22" ht="120" hidden="1">
      <c r="U160" s="301" t="s">
        <v>239</v>
      </c>
      <c r="V160" s="301" t="s">
        <v>240</v>
      </c>
    </row>
    <row r="161" spans="21:24" ht="120" hidden="1">
      <c r="U161" s="301" t="s">
        <v>241</v>
      </c>
      <c r="V161" s="301" t="s">
        <v>242</v>
      </c>
    </row>
    <row r="162" spans="21:24" ht="100" hidden="1">
      <c r="U162" s="301" t="s">
        <v>187</v>
      </c>
      <c r="V162" s="301" t="s">
        <v>243</v>
      </c>
    </row>
    <row r="163" spans="21:24" ht="80" hidden="1">
      <c r="U163" s="301" t="s">
        <v>318</v>
      </c>
      <c r="V163" s="301" t="s">
        <v>319</v>
      </c>
    </row>
    <row r="164" spans="21:24" ht="60" hidden="1">
      <c r="U164" s="301" t="s">
        <v>244</v>
      </c>
      <c r="V164" s="301" t="s">
        <v>245</v>
      </c>
    </row>
    <row r="165" spans="21:24" ht="200" hidden="1">
      <c r="U165" s="301" t="s">
        <v>320</v>
      </c>
      <c r="V165" s="301" t="s">
        <v>321</v>
      </c>
    </row>
    <row r="166" spans="21:24" hidden="1"/>
    <row r="167" spans="21:24" hidden="1"/>
    <row r="168" spans="21:24" hidden="1"/>
    <row r="169" spans="21:24" hidden="1"/>
    <row r="170" spans="21:24" hidden="1"/>
    <row r="171" spans="21:24" hidden="1"/>
    <row r="172" spans="21:24" hidden="1">
      <c r="W172" s="302" t="s">
        <v>199</v>
      </c>
      <c r="X172" s="302" t="s">
        <v>200</v>
      </c>
    </row>
    <row r="173" spans="21:24" ht="28.5" hidden="1">
      <c r="W173" s="303" t="s">
        <v>204</v>
      </c>
      <c r="X173" s="303" t="s">
        <v>246</v>
      </c>
    </row>
    <row r="174" spans="21:24" ht="98.5" hidden="1">
      <c r="W174" s="303" t="s">
        <v>247</v>
      </c>
      <c r="X174" s="303" t="s">
        <v>248</v>
      </c>
    </row>
    <row r="175" spans="21:24" ht="28.5" hidden="1">
      <c r="W175" s="303" t="s">
        <v>249</v>
      </c>
      <c r="X175" s="303" t="s">
        <v>250</v>
      </c>
    </row>
    <row r="176" spans="21:24" ht="28.5" hidden="1">
      <c r="W176" s="303" t="s">
        <v>161</v>
      </c>
      <c r="X176" s="303" t="s">
        <v>251</v>
      </c>
    </row>
    <row r="177" spans="23:24" ht="70.5" hidden="1">
      <c r="W177" s="303" t="s">
        <v>252</v>
      </c>
      <c r="X177" s="303" t="s">
        <v>253</v>
      </c>
    </row>
    <row r="178" spans="23:24" ht="42.5" hidden="1">
      <c r="W178" s="303" t="s">
        <v>254</v>
      </c>
      <c r="X178" s="303" t="s">
        <v>255</v>
      </c>
    </row>
    <row r="179" spans="23:24" ht="56.5" hidden="1">
      <c r="W179" s="303" t="s">
        <v>256</v>
      </c>
      <c r="X179" s="303" t="s">
        <v>257</v>
      </c>
    </row>
    <row r="180" spans="23:24" ht="56.5" hidden="1">
      <c r="W180" s="303" t="s">
        <v>258</v>
      </c>
      <c r="X180" s="303" t="s">
        <v>259</v>
      </c>
    </row>
    <row r="181" spans="23:24" hidden="1">
      <c r="W181" s="303" t="s">
        <v>260</v>
      </c>
      <c r="X181" s="303" t="s">
        <v>261</v>
      </c>
    </row>
    <row r="182" spans="23:24" ht="28.5" hidden="1">
      <c r="W182" s="303" t="s">
        <v>262</v>
      </c>
      <c r="X182" s="303" t="s">
        <v>263</v>
      </c>
    </row>
    <row r="183" spans="23:24" ht="84.5" hidden="1">
      <c r="W183" s="303" t="s">
        <v>264</v>
      </c>
      <c r="X183" s="303" t="s">
        <v>265</v>
      </c>
    </row>
    <row r="184" spans="23:24" ht="42.5" hidden="1">
      <c r="W184" s="303" t="s">
        <v>266</v>
      </c>
      <c r="X184" s="303" t="s">
        <v>267</v>
      </c>
    </row>
    <row r="185" spans="23:24" ht="70.5" hidden="1">
      <c r="W185" s="303" t="s">
        <v>268</v>
      </c>
      <c r="X185" s="303" t="s">
        <v>269</v>
      </c>
    </row>
    <row r="186" spans="23:24" hidden="1"/>
    <row r="187" spans="23:24" hidden="1"/>
    <row r="188" spans="23:24" hidden="1"/>
    <row r="189" spans="23:24" hidden="1"/>
    <row r="190" spans="23:24" hidden="1"/>
    <row r="191" spans="23:24" hidden="1"/>
    <row r="192" spans="23:24" hidden="1"/>
    <row r="193" spans="20:20" hidden="1">
      <c r="T193" s="20" t="s">
        <v>148</v>
      </c>
    </row>
    <row r="194" spans="20:20" hidden="1">
      <c r="T194" s="20" t="s">
        <v>125</v>
      </c>
    </row>
    <row r="195" spans="20:20" hidden="1">
      <c r="T195" s="20" t="s">
        <v>149</v>
      </c>
    </row>
    <row r="196" spans="20:20" hidden="1">
      <c r="T196" s="20" t="s">
        <v>150</v>
      </c>
    </row>
    <row r="197" spans="20:20" hidden="1">
      <c r="T197" s="20" t="s">
        <v>151</v>
      </c>
    </row>
    <row r="198" spans="20:20" hidden="1">
      <c r="T198" s="20" t="s">
        <v>152</v>
      </c>
    </row>
    <row r="199" spans="20:20" hidden="1">
      <c r="T199" s="20" t="s">
        <v>153</v>
      </c>
    </row>
    <row r="200" spans="20:20" hidden="1">
      <c r="T200" s="20" t="s">
        <v>154</v>
      </c>
    </row>
    <row r="201" spans="20:20" hidden="1">
      <c r="T201" s="20" t="s">
        <v>155</v>
      </c>
    </row>
    <row r="202" spans="20:20" hidden="1">
      <c r="T202" s="20" t="s">
        <v>156</v>
      </c>
    </row>
    <row r="203" spans="20:20" hidden="1">
      <c r="T203" s="20" t="s">
        <v>157</v>
      </c>
    </row>
    <row r="204" spans="20:20" hidden="1">
      <c r="T204" s="20" t="s">
        <v>158</v>
      </c>
    </row>
    <row r="205" spans="20:20" hidden="1">
      <c r="T205" s="20" t="s">
        <v>159</v>
      </c>
    </row>
    <row r="206" spans="20:20" hidden="1">
      <c r="T206" s="20" t="s">
        <v>160</v>
      </c>
    </row>
    <row r="207" spans="20:20" hidden="1">
      <c r="T207" s="20" t="s">
        <v>161</v>
      </c>
    </row>
    <row r="208" spans="20:20" hidden="1">
      <c r="T208" s="20" t="s">
        <v>162</v>
      </c>
    </row>
    <row r="209" spans="20:20" hidden="1">
      <c r="T209" s="20" t="s">
        <v>163</v>
      </c>
    </row>
    <row r="210" spans="20:20" hidden="1">
      <c r="T210" s="20" t="s">
        <v>164</v>
      </c>
    </row>
    <row r="211" spans="20:20" hidden="1">
      <c r="T211" s="20" t="s">
        <v>165</v>
      </c>
    </row>
    <row r="212" spans="20:20" hidden="1">
      <c r="T212" s="20" t="s">
        <v>166</v>
      </c>
    </row>
    <row r="213" spans="20:20" hidden="1">
      <c r="T213" s="20" t="s">
        <v>167</v>
      </c>
    </row>
    <row r="214" spans="20:20" hidden="1">
      <c r="T214" s="20" t="s">
        <v>168</v>
      </c>
    </row>
    <row r="215" spans="20:20" hidden="1">
      <c r="T215" s="20" t="s">
        <v>169</v>
      </c>
    </row>
    <row r="216" spans="20:20" hidden="1">
      <c r="T216" s="20" t="s">
        <v>170</v>
      </c>
    </row>
    <row r="217" spans="20:20" hidden="1">
      <c r="T217" s="20" t="s">
        <v>171</v>
      </c>
    </row>
    <row r="218" spans="20:20" hidden="1">
      <c r="T218" s="20" t="s">
        <v>172</v>
      </c>
    </row>
    <row r="219" spans="20:20" hidden="1">
      <c r="T219" s="20" t="s">
        <v>173</v>
      </c>
    </row>
    <row r="220" spans="20:20" hidden="1">
      <c r="T220" s="20" t="s">
        <v>174</v>
      </c>
    </row>
    <row r="221" spans="20:20" hidden="1">
      <c r="T221" s="20" t="s">
        <v>175</v>
      </c>
    </row>
    <row r="222" spans="20:20" hidden="1">
      <c r="T222" s="20" t="s">
        <v>176</v>
      </c>
    </row>
    <row r="223" spans="20:20" hidden="1">
      <c r="T223" s="20" t="s">
        <v>177</v>
      </c>
    </row>
    <row r="224" spans="20:20" hidden="1">
      <c r="T224" s="20" t="s">
        <v>178</v>
      </c>
    </row>
    <row r="225" spans="20:20" hidden="1">
      <c r="T225" s="20" t="s">
        <v>179</v>
      </c>
    </row>
    <row r="226" spans="20:20" hidden="1">
      <c r="T226" s="20" t="s">
        <v>180</v>
      </c>
    </row>
    <row r="227" spans="20:20" hidden="1">
      <c r="T227" s="20" t="s">
        <v>181</v>
      </c>
    </row>
    <row r="228" spans="20:20" hidden="1">
      <c r="T228" s="20" t="s">
        <v>182</v>
      </c>
    </row>
    <row r="229" spans="20:20" hidden="1">
      <c r="T229" s="20" t="s">
        <v>183</v>
      </c>
    </row>
    <row r="230" spans="20:20" hidden="1">
      <c r="T230" s="20" t="s">
        <v>184</v>
      </c>
    </row>
    <row r="231" spans="20:20" hidden="1">
      <c r="T231" s="20" t="s">
        <v>185</v>
      </c>
    </row>
    <row r="232" spans="20:20" hidden="1">
      <c r="T232" s="20" t="s">
        <v>186</v>
      </c>
    </row>
    <row r="233" spans="20:20" hidden="1">
      <c r="T233" s="20" t="s">
        <v>187</v>
      </c>
    </row>
    <row r="234" spans="20:20" hidden="1">
      <c r="T234" s="20" t="s">
        <v>188</v>
      </c>
    </row>
    <row r="235" spans="20:20" hidden="1">
      <c r="T235" s="20" t="s">
        <v>189</v>
      </c>
    </row>
    <row r="236" spans="20:20" hidden="1">
      <c r="T236" s="20" t="s">
        <v>190</v>
      </c>
    </row>
    <row r="237" spans="20:20" hidden="1">
      <c r="T237" s="20" t="s">
        <v>191</v>
      </c>
    </row>
    <row r="238" spans="20:20" hidden="1">
      <c r="T238" s="20" t="s">
        <v>192</v>
      </c>
    </row>
    <row r="239" spans="20:20" hidden="1">
      <c r="T239" s="20" t="s">
        <v>193</v>
      </c>
    </row>
    <row r="240" spans="20:20" hidden="1">
      <c r="T240" s="20" t="s">
        <v>194</v>
      </c>
    </row>
    <row r="241" spans="20:20" hidden="1">
      <c r="T241" s="20" t="s">
        <v>195</v>
      </c>
    </row>
    <row r="242" spans="20:20" hidden="1">
      <c r="T242" s="20" t="s">
        <v>196</v>
      </c>
    </row>
    <row r="243" spans="20:20" hidden="1">
      <c r="T243" s="20" t="s">
        <v>197</v>
      </c>
    </row>
    <row r="244" spans="20:20" hidden="1">
      <c r="T244" s="20" t="s">
        <v>198</v>
      </c>
    </row>
    <row r="245" spans="20:20" hidden="1"/>
    <row r="246" spans="20:20" hidden="1"/>
    <row r="247" spans="20:20" hidden="1"/>
    <row r="248" spans="20:20" hidden="1"/>
    <row r="249" spans="20:20" hidden="1"/>
    <row r="250" spans="20:20" hidden="1"/>
    <row r="251" spans="20:20" hidden="1"/>
    <row r="252" spans="20:20" hidden="1"/>
    <row r="253" spans="20:20" hidden="1"/>
    <row r="254" spans="20:20" hidden="1"/>
    <row r="304" ht="16" thickBot="1"/>
    <row r="305" spans="23:25" ht="16" thickBot="1">
      <c r="X305" s="45" t="s">
        <v>286</v>
      </c>
      <c r="Y305" s="265">
        <v>2025</v>
      </c>
    </row>
    <row r="306" spans="23:25">
      <c r="W306" s="304"/>
      <c r="X306" s="305" t="s">
        <v>389</v>
      </c>
      <c r="Y306" s="183">
        <f>+Y305-1</f>
        <v>2024</v>
      </c>
    </row>
    <row r="307" spans="23:25">
      <c r="W307" s="204"/>
      <c r="Y307" s="183">
        <f t="shared" ref="Y307:Y311" si="0">+Y306-1</f>
        <v>2023</v>
      </c>
    </row>
    <row r="308" spans="23:25">
      <c r="W308" s="204"/>
      <c r="Y308" s="183">
        <f t="shared" si="0"/>
        <v>2022</v>
      </c>
    </row>
    <row r="309" spans="23:25">
      <c r="W309" s="204"/>
      <c r="Y309" s="183">
        <f t="shared" si="0"/>
        <v>2021</v>
      </c>
    </row>
    <row r="310" spans="23:25">
      <c r="W310" s="204"/>
      <c r="Y310" s="183">
        <f t="shared" si="0"/>
        <v>2020</v>
      </c>
    </row>
    <row r="311" spans="23:25">
      <c r="W311" s="204"/>
      <c r="Y311" s="183">
        <f t="shared" si="0"/>
        <v>2019</v>
      </c>
    </row>
    <row r="312" spans="23:25">
      <c r="W312" s="195"/>
      <c r="X312" s="227"/>
      <c r="Y312" s="180"/>
    </row>
  </sheetData>
  <sheetProtection algorithmName="SHA-512" hashValue="tvrPSFlEpbxBudGiQDu0gZSHtnaDs1SVhqEgW9uiL7QtMVZNgUZ7k0B8KNNapGWg4oivVV2TXwqvEXeeaBZyRw==" saltValue="ngMSkIUNfsYZ2EECjS4fPA==" spinCount="100000" sheet="1" objects="1" scenarios="1"/>
  <mergeCells count="205">
    <mergeCell ref="A9:B9"/>
    <mergeCell ref="C9:E9"/>
    <mergeCell ref="A10:B10"/>
    <mergeCell ref="C10:E10"/>
    <mergeCell ref="F10:G10"/>
    <mergeCell ref="H10:I10"/>
    <mergeCell ref="B15:C15"/>
    <mergeCell ref="B16:C16"/>
    <mergeCell ref="B17:C17"/>
    <mergeCell ref="B18:C18"/>
    <mergeCell ref="B19:C19"/>
    <mergeCell ref="B20:C20"/>
    <mergeCell ref="J10:K10"/>
    <mergeCell ref="B13:C13"/>
    <mergeCell ref="A14:C14"/>
    <mergeCell ref="D14:E14"/>
    <mergeCell ref="F14:G14"/>
    <mergeCell ref="H14:I14"/>
    <mergeCell ref="J14:K14"/>
    <mergeCell ref="A27:K27"/>
    <mergeCell ref="B28:C28"/>
    <mergeCell ref="B29:C29"/>
    <mergeCell ref="H29:I29"/>
    <mergeCell ref="B30:C30"/>
    <mergeCell ref="A31:K31"/>
    <mergeCell ref="B21:C21"/>
    <mergeCell ref="B22:G22"/>
    <mergeCell ref="J22:K23"/>
    <mergeCell ref="B23:G23"/>
    <mergeCell ref="B24:C24"/>
    <mergeCell ref="B26:C26"/>
    <mergeCell ref="B35:C35"/>
    <mergeCell ref="D35:E35"/>
    <mergeCell ref="F35:G35"/>
    <mergeCell ref="H35:I35"/>
    <mergeCell ref="B36:C36"/>
    <mergeCell ref="D36:E36"/>
    <mergeCell ref="F36:G36"/>
    <mergeCell ref="H36:I36"/>
    <mergeCell ref="B32:C32"/>
    <mergeCell ref="B33:I33"/>
    <mergeCell ref="B34:C34"/>
    <mergeCell ref="D34:E34"/>
    <mergeCell ref="F34:G34"/>
    <mergeCell ref="H34:I34"/>
    <mergeCell ref="B39:C39"/>
    <mergeCell ref="D39:E39"/>
    <mergeCell ref="F39:G39"/>
    <mergeCell ref="H39:I39"/>
    <mergeCell ref="F40:G40"/>
    <mergeCell ref="H40:I40"/>
    <mergeCell ref="B37:C37"/>
    <mergeCell ref="D37:E37"/>
    <mergeCell ref="F37:G37"/>
    <mergeCell ref="H37:I37"/>
    <mergeCell ref="B38:C38"/>
    <mergeCell ref="D38:E38"/>
    <mergeCell ref="F38:G38"/>
    <mergeCell ref="H38:I38"/>
    <mergeCell ref="B46:G46"/>
    <mergeCell ref="H46:I46"/>
    <mergeCell ref="B47:G47"/>
    <mergeCell ref="H47:I47"/>
    <mergeCell ref="B48:G48"/>
    <mergeCell ref="H48:I48"/>
    <mergeCell ref="B41:C41"/>
    <mergeCell ref="H41:I41"/>
    <mergeCell ref="B42:C42"/>
    <mergeCell ref="A43:K43"/>
    <mergeCell ref="B44:C44"/>
    <mergeCell ref="H45:I45"/>
    <mergeCell ref="D45:G45"/>
    <mergeCell ref="D54:E54"/>
    <mergeCell ref="F54:G54"/>
    <mergeCell ref="H54:I54"/>
    <mergeCell ref="J54:K54"/>
    <mergeCell ref="B55:G55"/>
    <mergeCell ref="H55:I55"/>
    <mergeCell ref="B49:G49"/>
    <mergeCell ref="H49:I49"/>
    <mergeCell ref="A50:K50"/>
    <mergeCell ref="B51:C51"/>
    <mergeCell ref="B52:K52"/>
    <mergeCell ref="B53:C53"/>
    <mergeCell ref="D53:E53"/>
    <mergeCell ref="F53:G53"/>
    <mergeCell ref="H53:I53"/>
    <mergeCell ref="J53:K53"/>
    <mergeCell ref="B59:G59"/>
    <mergeCell ref="H59:I59"/>
    <mergeCell ref="B61:G61"/>
    <mergeCell ref="H61:I61"/>
    <mergeCell ref="A63:K63"/>
    <mergeCell ref="B64:C64"/>
    <mergeCell ref="B56:K56"/>
    <mergeCell ref="B57:E57"/>
    <mergeCell ref="F57:G57"/>
    <mergeCell ref="H57:I57"/>
    <mergeCell ref="J57:K57"/>
    <mergeCell ref="C58:E58"/>
    <mergeCell ref="F58:G58"/>
    <mergeCell ref="H58:I58"/>
    <mergeCell ref="J58:K58"/>
    <mergeCell ref="D67:E67"/>
    <mergeCell ref="F67:G67"/>
    <mergeCell ref="H67:I67"/>
    <mergeCell ref="J67:K67"/>
    <mergeCell ref="B68:G68"/>
    <mergeCell ref="H68:I68"/>
    <mergeCell ref="B65:K65"/>
    <mergeCell ref="B66:C66"/>
    <mergeCell ref="D66:E66"/>
    <mergeCell ref="F66:G66"/>
    <mergeCell ref="H66:I66"/>
    <mergeCell ref="J66:K66"/>
    <mergeCell ref="B72:G72"/>
    <mergeCell ref="H72:I72"/>
    <mergeCell ref="B73:C73"/>
    <mergeCell ref="A74:K74"/>
    <mergeCell ref="B75:C75"/>
    <mergeCell ref="B76:K76"/>
    <mergeCell ref="B69:K69"/>
    <mergeCell ref="B70:E70"/>
    <mergeCell ref="F70:G70"/>
    <mergeCell ref="H70:I70"/>
    <mergeCell ref="J70:K70"/>
    <mergeCell ref="C71:E71"/>
    <mergeCell ref="F71:G71"/>
    <mergeCell ref="H71:I71"/>
    <mergeCell ref="J71:K71"/>
    <mergeCell ref="B79:G79"/>
    <mergeCell ref="H79:I79"/>
    <mergeCell ref="B80:K80"/>
    <mergeCell ref="B81:E81"/>
    <mergeCell ref="F81:G81"/>
    <mergeCell ref="H81:I81"/>
    <mergeCell ref="J81:K81"/>
    <mergeCell ref="B77:C77"/>
    <mergeCell ref="D77:E77"/>
    <mergeCell ref="F77:G77"/>
    <mergeCell ref="H77:I77"/>
    <mergeCell ref="J77:K77"/>
    <mergeCell ref="D78:E78"/>
    <mergeCell ref="F78:G78"/>
    <mergeCell ref="H78:I78"/>
    <mergeCell ref="J78:K78"/>
    <mergeCell ref="B84:G84"/>
    <mergeCell ref="H84:I84"/>
    <mergeCell ref="B85:C85"/>
    <mergeCell ref="A86:K86"/>
    <mergeCell ref="B87:C87"/>
    <mergeCell ref="B88:K88"/>
    <mergeCell ref="C82:E82"/>
    <mergeCell ref="F82:G82"/>
    <mergeCell ref="H82:I82"/>
    <mergeCell ref="J82:K82"/>
    <mergeCell ref="B83:G83"/>
    <mergeCell ref="H83:I83"/>
    <mergeCell ref="B89:C89"/>
    <mergeCell ref="D89:E89"/>
    <mergeCell ref="F89:G89"/>
    <mergeCell ref="H89:I89"/>
    <mergeCell ref="J89:K89"/>
    <mergeCell ref="D90:E90"/>
    <mergeCell ref="F90:G90"/>
    <mergeCell ref="H90:I90"/>
    <mergeCell ref="J90:K90"/>
    <mergeCell ref="C94:E94"/>
    <mergeCell ref="F94:G94"/>
    <mergeCell ref="H94:I94"/>
    <mergeCell ref="J94:K94"/>
    <mergeCell ref="B95:G95"/>
    <mergeCell ref="H95:I95"/>
    <mergeCell ref="B91:G91"/>
    <mergeCell ref="H91:I91"/>
    <mergeCell ref="B92:K92"/>
    <mergeCell ref="B93:E93"/>
    <mergeCell ref="F93:G93"/>
    <mergeCell ref="H93:I93"/>
    <mergeCell ref="J93:K93"/>
    <mergeCell ref="D102:E102"/>
    <mergeCell ref="F102:G102"/>
    <mergeCell ref="H102:I102"/>
    <mergeCell ref="J102:K102"/>
    <mergeCell ref="B103:G103"/>
    <mergeCell ref="H103:I103"/>
    <mergeCell ref="B96:C96"/>
    <mergeCell ref="A98:K98"/>
    <mergeCell ref="B99:C99"/>
    <mergeCell ref="B100:K100"/>
    <mergeCell ref="B101:C101"/>
    <mergeCell ref="D101:E101"/>
    <mergeCell ref="F101:G101"/>
    <mergeCell ref="H101:I101"/>
    <mergeCell ref="J101:K101"/>
    <mergeCell ref="D107:E107"/>
    <mergeCell ref="F107:G107"/>
    <mergeCell ref="H107:I107"/>
    <mergeCell ref="J107:K107"/>
    <mergeCell ref="B104:K104"/>
    <mergeCell ref="C105:K105"/>
    <mergeCell ref="B106:E106"/>
    <mergeCell ref="F106:G106"/>
    <mergeCell ref="H106:I106"/>
    <mergeCell ref="J106:K106"/>
  </mergeCells>
  <conditionalFormatting sqref="A1:K44 A45:D45 H45:K45 A46:K67 A68 H68:K68 A69:K71 A72 H72:K72 A73:K108">
    <cfRule type="expression" dxfId="78" priority="2">
      <formula>$H$10 = "RG"</formula>
    </cfRule>
  </conditionalFormatting>
  <conditionalFormatting sqref="B106">
    <cfRule type="expression" dxfId="77" priority="42">
      <formula>$B106&lt;&gt;""</formula>
    </cfRule>
  </conditionalFormatting>
  <conditionalFormatting sqref="B34:C34">
    <cfRule type="expression" dxfId="76" priority="50">
      <formula>$B34&lt;&gt;""</formula>
    </cfRule>
  </conditionalFormatting>
  <conditionalFormatting sqref="B53:C53">
    <cfRule type="expression" dxfId="75" priority="9">
      <formula>$B53&lt;&gt;""</formula>
    </cfRule>
  </conditionalFormatting>
  <conditionalFormatting sqref="B66:C66">
    <cfRule type="expression" dxfId="74" priority="49">
      <formula>$B66&lt;&gt;""</formula>
    </cfRule>
  </conditionalFormatting>
  <conditionalFormatting sqref="B77:C77">
    <cfRule type="expression" dxfId="73" priority="48">
      <formula>$B77&lt;&gt;""</formula>
    </cfRule>
  </conditionalFormatting>
  <conditionalFormatting sqref="B89:C89">
    <cfRule type="expression" dxfId="72" priority="47">
      <formula>$B89&lt;&gt;""</formula>
    </cfRule>
  </conditionalFormatting>
  <conditionalFormatting sqref="B101:C101">
    <cfRule type="expression" dxfId="71" priority="46">
      <formula>$B101&lt;&gt;""</formula>
    </cfRule>
  </conditionalFormatting>
  <conditionalFormatting sqref="B57:E57">
    <cfRule type="expression" dxfId="70" priority="8">
      <formula>$B57&lt;&gt;""</formula>
    </cfRule>
  </conditionalFormatting>
  <conditionalFormatting sqref="B70:E70">
    <cfRule type="expression" dxfId="69" priority="45">
      <formula>$B70&lt;&gt;""</formula>
    </cfRule>
  </conditionalFormatting>
  <conditionalFormatting sqref="B81:E81">
    <cfRule type="expression" dxfId="68" priority="44">
      <formula>$B81&lt;&gt;""</formula>
    </cfRule>
  </conditionalFormatting>
  <conditionalFormatting sqref="B93:E93">
    <cfRule type="expression" dxfId="67" priority="43">
      <formula>$B93&lt;&gt;""</formula>
    </cfRule>
  </conditionalFormatting>
  <conditionalFormatting sqref="D18">
    <cfRule type="expression" dxfId="66" priority="66">
      <formula>$D$18&lt;&gt;$H$67</formula>
    </cfRule>
  </conditionalFormatting>
  <conditionalFormatting sqref="D19">
    <cfRule type="expression" dxfId="65" priority="67">
      <formula>$D$19&lt;&gt;$H$78</formula>
    </cfRule>
  </conditionalFormatting>
  <conditionalFormatting sqref="D20">
    <cfRule type="expression" dxfId="64" priority="68">
      <formula>$D$20&lt;&gt;$H$90</formula>
    </cfRule>
  </conditionalFormatting>
  <conditionalFormatting sqref="D21">
    <cfRule type="expression" dxfId="63" priority="69">
      <formula>$D$21&lt;&gt;$H$102</formula>
    </cfRule>
  </conditionalFormatting>
  <conditionalFormatting sqref="D35:E35">
    <cfRule type="expression" dxfId="62" priority="21">
      <formula>$B$35=""</formula>
    </cfRule>
  </conditionalFormatting>
  <conditionalFormatting sqref="D36:E36">
    <cfRule type="expression" dxfId="61" priority="20">
      <formula>$B$36=""</formula>
    </cfRule>
  </conditionalFormatting>
  <conditionalFormatting sqref="D37:E37">
    <cfRule type="expression" dxfId="60" priority="19">
      <formula>$B$37=""</formula>
    </cfRule>
  </conditionalFormatting>
  <conditionalFormatting sqref="D38:E38">
    <cfRule type="expression" dxfId="59" priority="18">
      <formula>$B$38=""</formula>
    </cfRule>
  </conditionalFormatting>
  <conditionalFormatting sqref="D39:E39">
    <cfRule type="expression" dxfId="58" priority="17">
      <formula>$B$39=""</formula>
    </cfRule>
  </conditionalFormatting>
  <conditionalFormatting sqref="D54:G54">
    <cfRule type="expression" dxfId="57" priority="10">
      <formula>$H54&gt;$F54+$D54</formula>
    </cfRule>
  </conditionalFormatting>
  <conditionalFormatting sqref="D67:G67">
    <cfRule type="expression" dxfId="56" priority="55">
      <formula>$H67&gt;$F67+$D67</formula>
    </cfRule>
  </conditionalFormatting>
  <conditionalFormatting sqref="D78:G78">
    <cfRule type="expression" dxfId="55" priority="54">
      <formula>$H78&gt;$F78+$D78</formula>
    </cfRule>
  </conditionalFormatting>
  <conditionalFormatting sqref="D90:G90">
    <cfRule type="expression" dxfId="54" priority="57">
      <formula>$H90&gt;$F90+$D90</formula>
    </cfRule>
  </conditionalFormatting>
  <conditionalFormatting sqref="D102:G102">
    <cfRule type="expression" dxfId="53" priority="56">
      <formula>$H102&gt;$F102+$D102</formula>
    </cfRule>
  </conditionalFormatting>
  <conditionalFormatting sqref="F21">
    <cfRule type="expression" dxfId="52" priority="70">
      <formula>$F$21&lt;&gt;$F$107</formula>
    </cfRule>
  </conditionalFormatting>
  <conditionalFormatting sqref="F107:G107">
    <cfRule type="expression" dxfId="51" priority="23">
      <formula>$F$107&gt;$H$103</formula>
    </cfRule>
  </conditionalFormatting>
  <conditionalFormatting sqref="H18">
    <cfRule type="expression" dxfId="50" priority="71">
      <formula>$H$18&lt;&gt;$H$67+$H$71</formula>
    </cfRule>
  </conditionalFormatting>
  <conditionalFormatting sqref="H19">
    <cfRule type="expression" dxfId="49" priority="72">
      <formula>$H$19&lt;&gt;$H$78+$H$82</formula>
    </cfRule>
  </conditionalFormatting>
  <conditionalFormatting sqref="H20">
    <cfRule type="expression" dxfId="48" priority="73">
      <formula>$H$20&lt;&gt;$H$90+$H$94</formula>
    </cfRule>
  </conditionalFormatting>
  <conditionalFormatting sqref="H21">
    <cfRule type="expression" dxfId="47" priority="74">
      <formula>$H$21&lt;&gt;$H$102+$H$107</formula>
    </cfRule>
  </conditionalFormatting>
  <conditionalFormatting sqref="H49:I49">
    <cfRule type="expression" dxfId="46" priority="64">
      <formula>#REF!&gt;$H$49</formula>
    </cfRule>
  </conditionalFormatting>
  <conditionalFormatting sqref="H54:I54">
    <cfRule type="expression" dxfId="45" priority="7" stopIfTrue="1">
      <formula>$H54=0</formula>
    </cfRule>
    <cfRule type="expression" dxfId="44" priority="13">
      <formula>$H54&gt;$H48</formula>
    </cfRule>
    <cfRule type="expression" dxfId="43" priority="15">
      <formula>+$H54&gt;$F54+$D54</formula>
    </cfRule>
  </conditionalFormatting>
  <conditionalFormatting sqref="H55:I55">
    <cfRule type="expression" dxfId="42" priority="11">
      <formula>$H58&gt;$H55</formula>
    </cfRule>
  </conditionalFormatting>
  <conditionalFormatting sqref="H58:I58">
    <cfRule type="expression" dxfId="41" priority="6" stopIfTrue="1">
      <formula>$H58=0</formula>
    </cfRule>
    <cfRule type="expression" dxfId="40" priority="12">
      <formula>$H58&gt;$H55</formula>
    </cfRule>
    <cfRule type="expression" dxfId="39" priority="14">
      <formula>$H58&gt;$F58</formula>
    </cfRule>
  </conditionalFormatting>
  <conditionalFormatting sqref="H61:I61">
    <cfRule type="expression" dxfId="38" priority="16">
      <formula>#REF!&gt;$H$60</formula>
    </cfRule>
  </conditionalFormatting>
  <conditionalFormatting sqref="H67:I67">
    <cfRule type="expression" dxfId="37" priority="63">
      <formula>+$H67&gt;$F67+$D67</formula>
    </cfRule>
    <cfRule type="expression" dxfId="36" priority="62">
      <formula>$H67&gt;#REF!</formula>
    </cfRule>
    <cfRule type="expression" dxfId="35" priority="61" stopIfTrue="1">
      <formula>$H67=0</formula>
    </cfRule>
  </conditionalFormatting>
  <conditionalFormatting sqref="H68:I68">
    <cfRule type="expression" dxfId="34" priority="53">
      <formula>$H71&gt;$H68</formula>
    </cfRule>
  </conditionalFormatting>
  <conditionalFormatting sqref="H71:I71">
    <cfRule type="expression" dxfId="33" priority="33" stopIfTrue="1">
      <formula>$H71=0</formula>
    </cfRule>
    <cfRule type="expression" dxfId="32" priority="34">
      <formula>$H71&gt;$H68</formula>
    </cfRule>
    <cfRule type="expression" dxfId="31" priority="35">
      <formula>$H71&gt;$F71</formula>
    </cfRule>
  </conditionalFormatting>
  <conditionalFormatting sqref="H72:I72">
    <cfRule type="expression" dxfId="30" priority="65">
      <formula>$H78&gt;$H72</formula>
    </cfRule>
  </conditionalFormatting>
  <conditionalFormatting sqref="H78:I78 H90:I90">
    <cfRule type="expression" dxfId="29" priority="41">
      <formula>+$H78&gt;$F78+$D78</formula>
    </cfRule>
    <cfRule type="expression" dxfId="28" priority="39" stopIfTrue="1">
      <formula>$H78=0</formula>
    </cfRule>
    <cfRule type="expression" dxfId="27" priority="40">
      <formula>$H78&gt;$H72</formula>
    </cfRule>
  </conditionalFormatting>
  <conditionalFormatting sqref="H79:I79">
    <cfRule type="expression" dxfId="26" priority="52">
      <formula>$H82&gt;$H79</formula>
    </cfRule>
  </conditionalFormatting>
  <conditionalFormatting sqref="H82:I82">
    <cfRule type="expression" dxfId="25" priority="4">
      <formula>$H82&gt;$H79</formula>
    </cfRule>
    <cfRule type="expression" dxfId="24" priority="5">
      <formula>$H82&gt;$F82</formula>
    </cfRule>
    <cfRule type="expression" dxfId="23" priority="3" stopIfTrue="1">
      <formula>$H82=0</formula>
    </cfRule>
  </conditionalFormatting>
  <conditionalFormatting sqref="H83:I83">
    <cfRule type="expression" dxfId="22" priority="60">
      <formula>$H$67&gt;#REF!</formula>
    </cfRule>
  </conditionalFormatting>
  <conditionalFormatting sqref="H91:I91">
    <cfRule type="expression" dxfId="21" priority="51">
      <formula>$H94&gt;$H91</formula>
    </cfRule>
  </conditionalFormatting>
  <conditionalFormatting sqref="H94:I94">
    <cfRule type="expression" dxfId="20" priority="27" stopIfTrue="1">
      <formula>$H94=0</formula>
    </cfRule>
    <cfRule type="expression" dxfId="19" priority="28">
      <formula>$H94&gt;$H91</formula>
    </cfRule>
    <cfRule type="expression" dxfId="18" priority="29">
      <formula>$H94&gt;$F94</formula>
    </cfRule>
  </conditionalFormatting>
  <conditionalFormatting sqref="H95:I95">
    <cfRule type="expression" dxfId="17" priority="59">
      <formula>$H$102&gt;$H$95</formula>
    </cfRule>
  </conditionalFormatting>
  <conditionalFormatting sqref="H102:I102">
    <cfRule type="expression" dxfId="16" priority="36" stopIfTrue="1">
      <formula>$H102=0</formula>
    </cfRule>
    <cfRule type="expression" dxfId="15" priority="37">
      <formula>$H102&gt;$H95</formula>
    </cfRule>
    <cfRule type="expression" dxfId="14" priority="38">
      <formula>+$H102&gt;$F102+$D102</formula>
    </cfRule>
  </conditionalFormatting>
  <conditionalFormatting sqref="H103:I103">
    <cfRule type="expression" dxfId="13" priority="58">
      <formula>$H$19&gt;$H103</formula>
    </cfRule>
  </conditionalFormatting>
  <conditionalFormatting sqref="H107:I107">
    <cfRule type="expression" dxfId="12" priority="26">
      <formula>$H107&gt;$F107</formula>
    </cfRule>
    <cfRule type="expression" dxfId="11" priority="24" stopIfTrue="1">
      <formula>$H107=0</formula>
    </cfRule>
    <cfRule type="expression" dxfId="10" priority="22">
      <formula>$H$107&gt;$H$95-$H$102</formula>
    </cfRule>
    <cfRule type="expression" dxfId="9" priority="25">
      <formula>$H107&gt;$H103</formula>
    </cfRule>
  </conditionalFormatting>
  <dataValidations count="2">
    <dataValidation type="decimal" operator="greaterThanOrEqual" allowBlank="1" showInputMessage="1" showErrorMessage="1" sqref="E35:G39 D35:D40 H35:I40" xr:uid="{D5452BC4-94E0-4614-AD2D-FD017AE915F1}">
      <formula1>0</formula1>
    </dataValidation>
    <dataValidation type="list" allowBlank="1" showInputMessage="1" showErrorMessage="1" sqref="K3" xr:uid="{452E80EB-ADB7-4394-A15B-2E150018487D}">
      <formula1>$Y$306:$Y$311</formula1>
    </dataValidation>
  </dataValidations>
  <hyperlinks>
    <hyperlink ref="C3" r:id="rId1" xr:uid="{DD18F4A1-673B-432D-84BE-83BB5591C75A}"/>
    <hyperlink ref="C4" r:id="rId2" xr:uid="{893A1E36-3C05-4C94-9146-9C3003F820D7}"/>
  </hyperlinks>
  <pageMargins left="0.7" right="0.7" top="0.75" bottom="0.75" header="0.3" footer="0.3"/>
  <pageSetup scale="60" fitToHeight="0" orientation="portrait" horizontalDpi="1200" verticalDpi="120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63229-C4BB-4CAD-94D8-8A0585BD84B0}">
  <sheetPr>
    <pageSetUpPr fitToPage="1"/>
  </sheetPr>
  <dimension ref="A1:L401"/>
  <sheetViews>
    <sheetView showGridLines="0" zoomScale="90" zoomScaleNormal="90" workbookViewId="0">
      <selection activeCell="C4" sqref="C4:D4"/>
    </sheetView>
  </sheetViews>
  <sheetFormatPr defaultColWidth="8.83203125" defaultRowHeight="15.5"/>
  <cols>
    <col min="1" max="4" width="8.83203125" style="20"/>
    <col min="5" max="5" width="15.08203125" style="20" customWidth="1"/>
    <col min="6" max="6" width="14.1640625" style="20" customWidth="1"/>
    <col min="7" max="7" width="13.83203125" style="20" customWidth="1"/>
    <col min="8" max="8" width="15.5" style="20" customWidth="1"/>
    <col min="9" max="9" width="13.83203125" style="20" customWidth="1"/>
    <col min="10" max="10" width="9.1640625" style="20" customWidth="1"/>
    <col min="11" max="11" width="7.9140625" style="20" customWidth="1"/>
    <col min="12" max="12" width="42.08203125" style="20" customWidth="1"/>
    <col min="13" max="16384" width="8.83203125" style="20"/>
  </cols>
  <sheetData>
    <row r="1" spans="1:12" ht="110" customHeight="1">
      <c r="A1" s="549" t="s">
        <v>540</v>
      </c>
      <c r="B1" s="549"/>
      <c r="C1" s="549"/>
      <c r="D1" s="549"/>
      <c r="E1" s="549"/>
      <c r="F1" s="549"/>
      <c r="G1" s="549"/>
      <c r="H1" s="550" t="s">
        <v>541</v>
      </c>
      <c r="I1" s="552" t="s">
        <v>525</v>
      </c>
      <c r="J1" s="554" t="s">
        <v>542</v>
      </c>
      <c r="K1" s="555"/>
      <c r="L1" s="556" t="s">
        <v>571</v>
      </c>
    </row>
    <row r="2" spans="1:12" ht="157" customHeight="1" thickBot="1">
      <c r="A2" s="558" t="s">
        <v>11</v>
      </c>
      <c r="B2" s="559"/>
      <c r="C2" s="560" t="s">
        <v>584</v>
      </c>
      <c r="D2" s="561"/>
      <c r="E2" s="266" t="s">
        <v>585</v>
      </c>
      <c r="F2" s="267" t="s">
        <v>586</v>
      </c>
      <c r="G2" s="267" t="s">
        <v>587</v>
      </c>
      <c r="H2" s="551"/>
      <c r="I2" s="553"/>
      <c r="J2" s="562" t="s">
        <v>526</v>
      </c>
      <c r="K2" s="563"/>
      <c r="L2" s="557"/>
    </row>
    <row r="3" spans="1:12">
      <c r="A3" s="564"/>
      <c r="B3" s="565"/>
      <c r="C3" s="566" t="s">
        <v>518</v>
      </c>
      <c r="D3" s="567"/>
      <c r="E3" s="268" t="s">
        <v>519</v>
      </c>
      <c r="F3" s="269" t="s">
        <v>520</v>
      </c>
      <c r="G3" s="269" t="s">
        <v>521</v>
      </c>
      <c r="H3" s="270" t="s">
        <v>522</v>
      </c>
      <c r="I3" s="270" t="s">
        <v>527</v>
      </c>
      <c r="J3" s="568" t="s">
        <v>528</v>
      </c>
      <c r="K3" s="568"/>
      <c r="L3" s="271"/>
    </row>
    <row r="4" spans="1:12">
      <c r="A4" s="569" t="s">
        <v>391</v>
      </c>
      <c r="B4" s="570"/>
      <c r="C4" s="571"/>
      <c r="D4" s="572"/>
      <c r="E4" s="272"/>
      <c r="F4" s="273"/>
      <c r="G4" s="274">
        <f t="shared" ref="G4:G19" si="0">+SUM(C4:F4)</f>
        <v>0</v>
      </c>
      <c r="H4" s="275"/>
      <c r="I4" s="276"/>
      <c r="J4" s="573">
        <f>SUM(H4:I4)</f>
        <v>0</v>
      </c>
      <c r="K4" s="573"/>
      <c r="L4" s="277"/>
    </row>
    <row r="5" spans="1:12">
      <c r="A5" s="569" t="s">
        <v>392</v>
      </c>
      <c r="B5" s="570"/>
      <c r="C5" s="571"/>
      <c r="D5" s="572"/>
      <c r="E5" s="278"/>
      <c r="F5" s="279"/>
      <c r="G5" s="280">
        <f t="shared" si="0"/>
        <v>0</v>
      </c>
      <c r="H5" s="281"/>
      <c r="I5" s="282"/>
      <c r="J5" s="573">
        <f t="shared" ref="J5:J19" si="1">SUM(H5:I5)</f>
        <v>0</v>
      </c>
      <c r="K5" s="573"/>
      <c r="L5" s="277"/>
    </row>
    <row r="6" spans="1:12">
      <c r="A6" s="569" t="s">
        <v>393</v>
      </c>
      <c r="B6" s="570"/>
      <c r="C6" s="571"/>
      <c r="D6" s="572"/>
      <c r="E6" s="278"/>
      <c r="F6" s="279"/>
      <c r="G6" s="280">
        <f t="shared" si="0"/>
        <v>0</v>
      </c>
      <c r="H6" s="282"/>
      <c r="I6" s="282"/>
      <c r="J6" s="573">
        <f t="shared" si="1"/>
        <v>0</v>
      </c>
      <c r="K6" s="573"/>
      <c r="L6" s="277"/>
    </row>
    <row r="7" spans="1:12">
      <c r="A7" s="569" t="s">
        <v>418</v>
      </c>
      <c r="B7" s="570"/>
      <c r="C7" s="571"/>
      <c r="D7" s="572"/>
      <c r="E7" s="278"/>
      <c r="F7" s="279"/>
      <c r="G7" s="280">
        <f t="shared" si="0"/>
        <v>0</v>
      </c>
      <c r="H7" s="281"/>
      <c r="I7" s="282"/>
      <c r="J7" s="573">
        <f t="shared" si="1"/>
        <v>0</v>
      </c>
      <c r="K7" s="573"/>
      <c r="L7" s="277"/>
    </row>
    <row r="8" spans="1:12">
      <c r="A8" s="569" t="s">
        <v>416</v>
      </c>
      <c r="B8" s="570"/>
      <c r="C8" s="571"/>
      <c r="D8" s="572"/>
      <c r="E8" s="278"/>
      <c r="F8" s="279"/>
      <c r="G8" s="280">
        <f t="shared" si="0"/>
        <v>0</v>
      </c>
      <c r="H8" s="281"/>
      <c r="I8" s="282"/>
      <c r="J8" s="573">
        <f t="shared" si="1"/>
        <v>0</v>
      </c>
      <c r="K8" s="573"/>
      <c r="L8" s="277"/>
    </row>
    <row r="9" spans="1:12">
      <c r="A9" s="569" t="s">
        <v>420</v>
      </c>
      <c r="B9" s="570"/>
      <c r="C9" s="571"/>
      <c r="D9" s="572"/>
      <c r="E9" s="278"/>
      <c r="F9" s="279"/>
      <c r="G9" s="280">
        <f t="shared" si="0"/>
        <v>0</v>
      </c>
      <c r="H9" s="281"/>
      <c r="I9" s="282"/>
      <c r="J9" s="573">
        <f t="shared" si="1"/>
        <v>0</v>
      </c>
      <c r="K9" s="573"/>
      <c r="L9" s="277"/>
    </row>
    <row r="10" spans="1:12">
      <c r="A10" s="569" t="s">
        <v>394</v>
      </c>
      <c r="B10" s="570"/>
      <c r="C10" s="571"/>
      <c r="D10" s="572"/>
      <c r="E10" s="278"/>
      <c r="F10" s="279"/>
      <c r="G10" s="280">
        <f t="shared" si="0"/>
        <v>0</v>
      </c>
      <c r="H10" s="282"/>
      <c r="I10" s="282"/>
      <c r="J10" s="573">
        <f t="shared" si="1"/>
        <v>0</v>
      </c>
      <c r="K10" s="573"/>
      <c r="L10" s="277"/>
    </row>
    <row r="11" spans="1:12">
      <c r="A11" s="569" t="s">
        <v>395</v>
      </c>
      <c r="B11" s="570"/>
      <c r="C11" s="571"/>
      <c r="D11" s="572"/>
      <c r="E11" s="278"/>
      <c r="F11" s="279"/>
      <c r="G11" s="280">
        <f t="shared" si="0"/>
        <v>0</v>
      </c>
      <c r="H11" s="282"/>
      <c r="I11" s="282"/>
      <c r="J11" s="573">
        <f t="shared" si="1"/>
        <v>0</v>
      </c>
      <c r="K11" s="573"/>
      <c r="L11" s="277"/>
    </row>
    <row r="12" spans="1:12">
      <c r="A12" s="569" t="s">
        <v>397</v>
      </c>
      <c r="B12" s="570"/>
      <c r="C12" s="571"/>
      <c r="D12" s="572"/>
      <c r="E12" s="278"/>
      <c r="F12" s="279"/>
      <c r="G12" s="280">
        <f t="shared" si="0"/>
        <v>0</v>
      </c>
      <c r="H12" s="281"/>
      <c r="I12" s="282"/>
      <c r="J12" s="573">
        <f t="shared" si="1"/>
        <v>0</v>
      </c>
      <c r="K12" s="573"/>
      <c r="L12" s="277"/>
    </row>
    <row r="13" spans="1:12">
      <c r="A13" s="569" t="s">
        <v>425</v>
      </c>
      <c r="B13" s="570"/>
      <c r="C13" s="571"/>
      <c r="D13" s="572"/>
      <c r="E13" s="278"/>
      <c r="F13" s="279"/>
      <c r="G13" s="280">
        <f t="shared" si="0"/>
        <v>0</v>
      </c>
      <c r="H13" s="281"/>
      <c r="I13" s="282"/>
      <c r="J13" s="573">
        <f t="shared" si="1"/>
        <v>0</v>
      </c>
      <c r="K13" s="573"/>
      <c r="L13" s="277"/>
    </row>
    <row r="14" spans="1:12">
      <c r="A14" s="569" t="s">
        <v>429</v>
      </c>
      <c r="B14" s="570"/>
      <c r="C14" s="571"/>
      <c r="D14" s="572"/>
      <c r="E14" s="278"/>
      <c r="F14" s="279"/>
      <c r="G14" s="280">
        <f t="shared" si="0"/>
        <v>0</v>
      </c>
      <c r="H14" s="281"/>
      <c r="I14" s="282"/>
      <c r="J14" s="573">
        <f t="shared" si="1"/>
        <v>0</v>
      </c>
      <c r="K14" s="573"/>
      <c r="L14" s="277"/>
    </row>
    <row r="15" spans="1:12">
      <c r="A15" s="569" t="s">
        <v>437</v>
      </c>
      <c r="B15" s="570"/>
      <c r="C15" s="571"/>
      <c r="D15" s="572"/>
      <c r="E15" s="278"/>
      <c r="F15" s="279"/>
      <c r="G15" s="280">
        <f t="shared" si="0"/>
        <v>0</v>
      </c>
      <c r="H15" s="281"/>
      <c r="I15" s="282"/>
      <c r="J15" s="573">
        <f t="shared" si="1"/>
        <v>0</v>
      </c>
      <c r="K15" s="573"/>
      <c r="L15" s="277"/>
    </row>
    <row r="16" spans="1:12">
      <c r="A16" s="569" t="s">
        <v>399</v>
      </c>
      <c r="B16" s="570"/>
      <c r="C16" s="571"/>
      <c r="D16" s="572"/>
      <c r="E16" s="278"/>
      <c r="F16" s="279"/>
      <c r="G16" s="280">
        <f t="shared" si="0"/>
        <v>0</v>
      </c>
      <c r="H16" s="282"/>
      <c r="I16" s="282"/>
      <c r="J16" s="573">
        <f t="shared" si="1"/>
        <v>0</v>
      </c>
      <c r="K16" s="573"/>
      <c r="L16" s="277"/>
    </row>
    <row r="17" spans="1:12">
      <c r="A17" s="569" t="s">
        <v>441</v>
      </c>
      <c r="B17" s="570"/>
      <c r="C17" s="571"/>
      <c r="D17" s="572"/>
      <c r="E17" s="278"/>
      <c r="F17" s="279"/>
      <c r="G17" s="280">
        <f t="shared" si="0"/>
        <v>0</v>
      </c>
      <c r="H17" s="281"/>
      <c r="I17" s="282"/>
      <c r="J17" s="573">
        <f>SUM(H17:I17)</f>
        <v>0</v>
      </c>
      <c r="K17" s="573"/>
      <c r="L17" s="277"/>
    </row>
    <row r="18" spans="1:12">
      <c r="A18" s="569" t="s">
        <v>444</v>
      </c>
      <c r="B18" s="570"/>
      <c r="C18" s="571"/>
      <c r="D18" s="572"/>
      <c r="E18" s="283"/>
      <c r="F18" s="284"/>
      <c r="G18" s="285">
        <f t="shared" si="0"/>
        <v>0</v>
      </c>
      <c r="H18" s="286"/>
      <c r="I18" s="287"/>
      <c r="J18" s="573">
        <f>SUM(H18:I18)</f>
        <v>0</v>
      </c>
      <c r="K18" s="573"/>
      <c r="L18" s="277"/>
    </row>
    <row r="19" spans="1:12" ht="16" thickBot="1">
      <c r="A19" s="574" t="s">
        <v>400</v>
      </c>
      <c r="B19" s="575"/>
      <c r="C19" s="576"/>
      <c r="D19" s="577"/>
      <c r="E19" s="288"/>
      <c r="F19" s="289"/>
      <c r="G19" s="290">
        <f t="shared" si="0"/>
        <v>0</v>
      </c>
      <c r="H19" s="291"/>
      <c r="I19" s="292"/>
      <c r="J19" s="573">
        <f t="shared" si="1"/>
        <v>0</v>
      </c>
      <c r="K19" s="573"/>
      <c r="L19" s="277"/>
    </row>
    <row r="20" spans="1:12">
      <c r="J20" s="22"/>
      <c r="K20" s="22"/>
    </row>
    <row r="21" spans="1:12">
      <c r="J21" s="22"/>
      <c r="K21" s="22"/>
    </row>
    <row r="22" spans="1:12">
      <c r="J22" s="22"/>
      <c r="K22" s="22"/>
    </row>
    <row r="23" spans="1:12">
      <c r="J23" s="22"/>
      <c r="K23" s="22"/>
    </row>
    <row r="24" spans="1:12">
      <c r="J24" s="22"/>
      <c r="K24" s="22"/>
    </row>
    <row r="25" spans="1:12">
      <c r="J25" s="22"/>
      <c r="K25" s="22"/>
    </row>
    <row r="26" spans="1:12">
      <c r="J26" s="22"/>
      <c r="K26" s="22"/>
    </row>
    <row r="27" spans="1:12">
      <c r="J27" s="22"/>
      <c r="K27" s="22"/>
    </row>
    <row r="28" spans="1:12">
      <c r="J28" s="22"/>
      <c r="K28" s="22"/>
    </row>
    <row r="29" spans="1:12">
      <c r="J29" s="22"/>
      <c r="K29" s="22"/>
    </row>
    <row r="30" spans="1:12">
      <c r="J30" s="22"/>
      <c r="K30" s="22"/>
    </row>
    <row r="31" spans="1:12">
      <c r="J31" s="22"/>
      <c r="K31" s="22"/>
    </row>
    <row r="32" spans="1:12">
      <c r="J32" s="22"/>
      <c r="K32" s="22"/>
    </row>
    <row r="33" spans="10:11">
      <c r="J33" s="22"/>
      <c r="K33" s="22"/>
    </row>
    <row r="34" spans="10:11">
      <c r="J34" s="22"/>
      <c r="K34" s="22"/>
    </row>
    <row r="35" spans="10:11">
      <c r="J35" s="22"/>
      <c r="K35" s="22"/>
    </row>
    <row r="36" spans="10:11">
      <c r="J36" s="22"/>
      <c r="K36" s="22"/>
    </row>
    <row r="37" spans="10:11">
      <c r="J37" s="22"/>
      <c r="K37" s="22"/>
    </row>
    <row r="38" spans="10:11">
      <c r="J38" s="22"/>
      <c r="K38" s="22"/>
    </row>
    <row r="39" spans="10:11">
      <c r="J39" s="22"/>
      <c r="K39" s="22"/>
    </row>
    <row r="40" spans="10:11">
      <c r="J40" s="22"/>
      <c r="K40" s="22"/>
    </row>
    <row r="41" spans="10:11">
      <c r="J41" s="22"/>
      <c r="K41" s="22"/>
    </row>
    <row r="42" spans="10:11">
      <c r="J42" s="22"/>
      <c r="K42" s="22"/>
    </row>
    <row r="43" spans="10:11">
      <c r="J43" s="22"/>
      <c r="K43" s="22"/>
    </row>
    <row r="44" spans="10:11">
      <c r="J44" s="22"/>
      <c r="K44" s="22"/>
    </row>
    <row r="45" spans="10:11">
      <c r="J45" s="22"/>
      <c r="K45" s="22"/>
    </row>
    <row r="46" spans="10:11">
      <c r="J46" s="22"/>
      <c r="K46" s="22"/>
    </row>
    <row r="47" spans="10:11">
      <c r="J47" s="22"/>
      <c r="K47" s="22"/>
    </row>
    <row r="48" spans="10:11">
      <c r="J48" s="22"/>
      <c r="K48" s="22"/>
    </row>
    <row r="49" spans="10:11">
      <c r="J49" s="22"/>
      <c r="K49" s="22"/>
    </row>
    <row r="50" spans="10:11">
      <c r="J50" s="22"/>
      <c r="K50" s="22"/>
    </row>
    <row r="51" spans="10:11">
      <c r="J51" s="22"/>
      <c r="K51" s="22"/>
    </row>
    <row r="52" spans="10:11">
      <c r="J52" s="22"/>
      <c r="K52" s="22"/>
    </row>
    <row r="53" spans="10:11">
      <c r="J53" s="22"/>
      <c r="K53" s="22"/>
    </row>
    <row r="54" spans="10:11">
      <c r="J54" s="22"/>
      <c r="K54" s="22"/>
    </row>
    <row r="55" spans="10:11">
      <c r="J55" s="22"/>
      <c r="K55" s="22"/>
    </row>
    <row r="56" spans="10:11">
      <c r="J56" s="22"/>
      <c r="K56" s="22"/>
    </row>
    <row r="57" spans="10:11">
      <c r="J57" s="22"/>
      <c r="K57" s="22"/>
    </row>
    <row r="58" spans="10:11">
      <c r="J58" s="22"/>
      <c r="K58" s="22"/>
    </row>
    <row r="59" spans="10:11">
      <c r="J59" s="22"/>
      <c r="K59" s="22"/>
    </row>
    <row r="60" spans="10:11">
      <c r="J60" s="22"/>
      <c r="K60" s="22"/>
    </row>
    <row r="61" spans="10:11">
      <c r="J61" s="22"/>
      <c r="K61" s="22"/>
    </row>
    <row r="62" spans="10:11">
      <c r="J62" s="22"/>
      <c r="K62" s="22"/>
    </row>
    <row r="63" spans="10:11">
      <c r="J63" s="22"/>
      <c r="K63" s="22"/>
    </row>
    <row r="64" spans="10:11">
      <c r="J64" s="22"/>
      <c r="K64" s="22"/>
    </row>
    <row r="65" spans="10:11">
      <c r="J65" s="22"/>
      <c r="K65" s="22"/>
    </row>
    <row r="66" spans="10:11">
      <c r="J66" s="22"/>
      <c r="K66" s="22"/>
    </row>
    <row r="67" spans="10:11">
      <c r="J67" s="22"/>
      <c r="K67" s="22"/>
    </row>
    <row r="68" spans="10:11">
      <c r="J68" s="22"/>
      <c r="K68" s="22"/>
    </row>
    <row r="69" spans="10:11">
      <c r="J69" s="22"/>
      <c r="K69" s="22"/>
    </row>
    <row r="70" spans="10:11">
      <c r="J70" s="22"/>
      <c r="K70" s="22"/>
    </row>
    <row r="71" spans="10:11">
      <c r="J71" s="22"/>
      <c r="K71" s="22"/>
    </row>
    <row r="72" spans="10:11">
      <c r="J72" s="22"/>
      <c r="K72" s="22"/>
    </row>
    <row r="73" spans="10:11">
      <c r="J73" s="22"/>
      <c r="K73" s="22"/>
    </row>
    <row r="74" spans="10:11">
      <c r="J74" s="22"/>
      <c r="K74" s="22"/>
    </row>
    <row r="75" spans="10:11">
      <c r="J75" s="22"/>
      <c r="K75" s="22"/>
    </row>
    <row r="76" spans="10:11">
      <c r="J76" s="22"/>
      <c r="K76" s="22"/>
    </row>
    <row r="77" spans="10:11">
      <c r="J77" s="22"/>
      <c r="K77" s="22"/>
    </row>
    <row r="78" spans="10:11">
      <c r="J78" s="22"/>
      <c r="K78" s="22"/>
    </row>
    <row r="79" spans="10:11">
      <c r="J79" s="22"/>
      <c r="K79" s="22"/>
    </row>
    <row r="80" spans="10:11">
      <c r="J80" s="22"/>
      <c r="K80" s="22"/>
    </row>
    <row r="81" spans="10:11">
      <c r="J81" s="22"/>
      <c r="K81" s="22"/>
    </row>
    <row r="82" spans="10:11">
      <c r="J82" s="22"/>
      <c r="K82" s="22"/>
    </row>
    <row r="83" spans="10:11">
      <c r="J83" s="22"/>
      <c r="K83" s="22"/>
    </row>
    <row r="84" spans="10:11">
      <c r="J84" s="22"/>
      <c r="K84" s="22"/>
    </row>
    <row r="85" spans="10:11">
      <c r="J85" s="22"/>
      <c r="K85" s="22"/>
    </row>
    <row r="86" spans="10:11">
      <c r="J86" s="22"/>
      <c r="K86" s="22"/>
    </row>
    <row r="87" spans="10:11">
      <c r="J87" s="22"/>
      <c r="K87" s="22"/>
    </row>
    <row r="88" spans="10:11">
      <c r="J88" s="22"/>
      <c r="K88" s="22"/>
    </row>
    <row r="89" spans="10:11">
      <c r="J89" s="22"/>
      <c r="K89" s="22"/>
    </row>
    <row r="90" spans="10:11">
      <c r="J90" s="22"/>
      <c r="K90" s="22"/>
    </row>
    <row r="91" spans="10:11">
      <c r="J91" s="22"/>
      <c r="K91" s="22"/>
    </row>
    <row r="92" spans="10:11">
      <c r="J92" s="22"/>
      <c r="K92" s="22"/>
    </row>
    <row r="93" spans="10:11">
      <c r="J93" s="22"/>
      <c r="K93" s="22"/>
    </row>
    <row r="94" spans="10:11">
      <c r="J94" s="22"/>
      <c r="K94" s="22"/>
    </row>
    <row r="95" spans="10:11">
      <c r="J95" s="22"/>
      <c r="K95" s="22"/>
    </row>
    <row r="96" spans="10:11">
      <c r="J96" s="22"/>
      <c r="K96" s="22"/>
    </row>
    <row r="97" spans="10:11">
      <c r="J97" s="22"/>
      <c r="K97" s="22"/>
    </row>
    <row r="98" spans="10:11">
      <c r="J98" s="22"/>
      <c r="K98" s="22"/>
    </row>
    <row r="99" spans="10:11">
      <c r="J99" s="22"/>
      <c r="K99" s="22"/>
    </row>
    <row r="100" spans="10:11">
      <c r="J100" s="22"/>
      <c r="K100" s="22"/>
    </row>
    <row r="101" spans="10:11">
      <c r="J101" s="22"/>
      <c r="K101" s="22"/>
    </row>
    <row r="102" spans="10:11">
      <c r="J102" s="22"/>
      <c r="K102" s="22"/>
    </row>
    <row r="103" spans="10:11">
      <c r="J103" s="22"/>
      <c r="K103" s="22"/>
    </row>
    <row r="104" spans="10:11">
      <c r="J104" s="22"/>
      <c r="K104" s="22"/>
    </row>
    <row r="105" spans="10:11">
      <c r="J105" s="22"/>
      <c r="K105" s="22"/>
    </row>
    <row r="106" spans="10:11">
      <c r="J106" s="22"/>
      <c r="K106" s="22"/>
    </row>
    <row r="107" spans="10:11">
      <c r="J107" s="22"/>
      <c r="K107" s="22"/>
    </row>
    <row r="108" spans="10:11">
      <c r="J108" s="22"/>
      <c r="K108" s="22"/>
    </row>
    <row r="109" spans="10:11">
      <c r="J109" s="22"/>
      <c r="K109" s="22"/>
    </row>
    <row r="110" spans="10:11">
      <c r="J110" s="22"/>
      <c r="K110" s="22"/>
    </row>
    <row r="111" spans="10:11">
      <c r="J111" s="22"/>
      <c r="K111" s="22"/>
    </row>
    <row r="112" spans="10:11">
      <c r="J112" s="22"/>
      <c r="K112" s="22"/>
    </row>
    <row r="113" spans="10:11">
      <c r="J113" s="22"/>
      <c r="K113" s="22"/>
    </row>
    <row r="114" spans="10:11">
      <c r="J114" s="22"/>
      <c r="K114" s="22"/>
    </row>
    <row r="115" spans="10:11">
      <c r="J115" s="22"/>
      <c r="K115" s="22"/>
    </row>
    <row r="116" spans="10:11">
      <c r="J116" s="22"/>
      <c r="K116" s="22"/>
    </row>
    <row r="117" spans="10:11">
      <c r="J117" s="22"/>
      <c r="K117" s="22"/>
    </row>
    <row r="118" spans="10:11">
      <c r="J118" s="22"/>
      <c r="K118" s="22"/>
    </row>
    <row r="119" spans="10:11">
      <c r="J119" s="22"/>
      <c r="K119" s="22"/>
    </row>
    <row r="120" spans="10:11">
      <c r="J120" s="22"/>
      <c r="K120" s="22"/>
    </row>
    <row r="121" spans="10:11">
      <c r="J121" s="22"/>
      <c r="K121" s="22"/>
    </row>
    <row r="122" spans="10:11">
      <c r="J122" s="22"/>
      <c r="K122" s="22"/>
    </row>
    <row r="123" spans="10:11">
      <c r="J123" s="22"/>
      <c r="K123" s="22"/>
    </row>
    <row r="124" spans="10:11">
      <c r="J124" s="22"/>
      <c r="K124" s="22"/>
    </row>
    <row r="125" spans="10:11">
      <c r="J125" s="22"/>
      <c r="K125" s="22"/>
    </row>
    <row r="126" spans="10:11">
      <c r="J126" s="22"/>
      <c r="K126" s="22"/>
    </row>
    <row r="127" spans="10:11">
      <c r="J127" s="22"/>
      <c r="K127" s="22"/>
    </row>
    <row r="128" spans="10:11">
      <c r="J128" s="22"/>
      <c r="K128" s="22"/>
    </row>
    <row r="129" spans="10:11">
      <c r="J129" s="22"/>
      <c r="K129" s="22"/>
    </row>
    <row r="130" spans="10:11">
      <c r="J130" s="22"/>
      <c r="K130" s="22"/>
    </row>
    <row r="131" spans="10:11">
      <c r="J131" s="22"/>
      <c r="K131" s="22"/>
    </row>
    <row r="132" spans="10:11">
      <c r="J132" s="22"/>
      <c r="K132" s="22"/>
    </row>
    <row r="133" spans="10:11">
      <c r="J133" s="22"/>
      <c r="K133" s="22"/>
    </row>
    <row r="134" spans="10:11">
      <c r="J134" s="22"/>
      <c r="K134" s="22"/>
    </row>
    <row r="135" spans="10:11">
      <c r="J135" s="22"/>
      <c r="K135" s="22"/>
    </row>
    <row r="136" spans="10:11">
      <c r="J136" s="22"/>
      <c r="K136" s="22"/>
    </row>
    <row r="137" spans="10:11">
      <c r="J137" s="22"/>
      <c r="K137" s="22"/>
    </row>
    <row r="138" spans="10:11">
      <c r="J138" s="22"/>
      <c r="K138" s="22"/>
    </row>
    <row r="139" spans="10:11">
      <c r="J139" s="22"/>
      <c r="K139" s="22"/>
    </row>
    <row r="140" spans="10:11">
      <c r="J140" s="22"/>
      <c r="K140" s="22"/>
    </row>
    <row r="141" spans="10:11">
      <c r="J141" s="22"/>
      <c r="K141" s="22"/>
    </row>
    <row r="142" spans="10:11">
      <c r="J142" s="22"/>
      <c r="K142" s="22"/>
    </row>
    <row r="143" spans="10:11">
      <c r="J143" s="22"/>
      <c r="K143" s="22"/>
    </row>
    <row r="144" spans="10:11">
      <c r="J144" s="22"/>
      <c r="K144" s="22"/>
    </row>
    <row r="145" spans="10:11">
      <c r="J145" s="22"/>
      <c r="K145" s="22"/>
    </row>
    <row r="146" spans="10:11">
      <c r="J146" s="22"/>
      <c r="K146" s="22"/>
    </row>
    <row r="147" spans="10:11">
      <c r="J147" s="22"/>
      <c r="K147" s="22"/>
    </row>
    <row r="148" spans="10:11">
      <c r="J148" s="22"/>
      <c r="K148" s="22"/>
    </row>
    <row r="149" spans="10:11">
      <c r="J149" s="22"/>
      <c r="K149" s="22"/>
    </row>
    <row r="150" spans="10:11">
      <c r="J150" s="22"/>
      <c r="K150" s="22"/>
    </row>
    <row r="151" spans="10:11">
      <c r="J151" s="22"/>
      <c r="K151" s="22"/>
    </row>
    <row r="152" spans="10:11">
      <c r="J152" s="22"/>
      <c r="K152" s="22"/>
    </row>
    <row r="153" spans="10:11">
      <c r="J153" s="22"/>
      <c r="K153" s="22"/>
    </row>
    <row r="154" spans="10:11">
      <c r="J154" s="22"/>
      <c r="K154" s="22"/>
    </row>
    <row r="155" spans="10:11">
      <c r="J155" s="22"/>
      <c r="K155" s="22"/>
    </row>
    <row r="156" spans="10:11">
      <c r="J156" s="22"/>
      <c r="K156" s="22"/>
    </row>
    <row r="157" spans="10:11">
      <c r="J157" s="22"/>
      <c r="K157" s="22"/>
    </row>
    <row r="158" spans="10:11">
      <c r="J158" s="22"/>
      <c r="K158" s="22"/>
    </row>
    <row r="159" spans="10:11">
      <c r="J159" s="22"/>
      <c r="K159" s="22"/>
    </row>
    <row r="160" spans="10:11">
      <c r="J160" s="22"/>
      <c r="K160" s="22"/>
    </row>
    <row r="161" spans="10:11">
      <c r="J161" s="22"/>
      <c r="K161" s="22"/>
    </row>
    <row r="162" spans="10:11">
      <c r="J162" s="22"/>
      <c r="K162" s="22"/>
    </row>
    <row r="163" spans="10:11">
      <c r="J163" s="22"/>
      <c r="K163" s="22"/>
    </row>
    <row r="164" spans="10:11">
      <c r="J164" s="22"/>
      <c r="K164" s="22"/>
    </row>
    <row r="165" spans="10:11">
      <c r="J165" s="22"/>
      <c r="K165" s="22"/>
    </row>
    <row r="166" spans="10:11">
      <c r="J166" s="22"/>
      <c r="K166" s="22"/>
    </row>
    <row r="167" spans="10:11">
      <c r="J167" s="22"/>
      <c r="K167" s="22"/>
    </row>
    <row r="168" spans="10:11">
      <c r="J168" s="22"/>
      <c r="K168" s="22"/>
    </row>
    <row r="169" spans="10:11">
      <c r="J169" s="22"/>
      <c r="K169" s="22"/>
    </row>
    <row r="170" spans="10:11">
      <c r="J170" s="22"/>
      <c r="K170" s="22"/>
    </row>
    <row r="171" spans="10:11">
      <c r="J171" s="22"/>
      <c r="K171" s="22"/>
    </row>
    <row r="172" spans="10:11">
      <c r="J172" s="22"/>
      <c r="K172" s="22"/>
    </row>
    <row r="173" spans="10:11">
      <c r="J173" s="22"/>
      <c r="K173" s="22"/>
    </row>
    <row r="174" spans="10:11">
      <c r="J174" s="22"/>
      <c r="K174" s="22"/>
    </row>
    <row r="175" spans="10:11">
      <c r="J175" s="22"/>
      <c r="K175" s="22"/>
    </row>
    <row r="176" spans="10:11">
      <c r="J176" s="22"/>
      <c r="K176" s="22"/>
    </row>
    <row r="177" spans="10:11">
      <c r="J177" s="22"/>
      <c r="K177" s="22"/>
    </row>
    <row r="178" spans="10:11">
      <c r="J178" s="22"/>
      <c r="K178" s="22"/>
    </row>
    <row r="179" spans="10:11">
      <c r="J179" s="22"/>
      <c r="K179" s="22"/>
    </row>
    <row r="180" spans="10:11">
      <c r="J180" s="22"/>
      <c r="K180" s="22"/>
    </row>
    <row r="181" spans="10:11">
      <c r="J181" s="22"/>
      <c r="K181" s="22"/>
    </row>
    <row r="182" spans="10:11">
      <c r="J182" s="22"/>
      <c r="K182" s="22"/>
    </row>
    <row r="183" spans="10:11">
      <c r="J183" s="22"/>
      <c r="K183" s="22"/>
    </row>
    <row r="184" spans="10:11">
      <c r="J184" s="22"/>
      <c r="K184" s="22"/>
    </row>
    <row r="185" spans="10:11">
      <c r="J185" s="22"/>
      <c r="K185" s="22"/>
    </row>
    <row r="186" spans="10:11">
      <c r="J186" s="22"/>
      <c r="K186" s="22"/>
    </row>
    <row r="187" spans="10:11">
      <c r="J187" s="22"/>
      <c r="K187" s="22"/>
    </row>
    <row r="188" spans="10:11">
      <c r="J188" s="22"/>
      <c r="K188" s="22"/>
    </row>
    <row r="189" spans="10:11">
      <c r="J189" s="22"/>
      <c r="K189" s="22"/>
    </row>
    <row r="190" spans="10:11">
      <c r="J190" s="22"/>
      <c r="K190" s="22"/>
    </row>
    <row r="191" spans="10:11">
      <c r="J191" s="22"/>
      <c r="K191" s="22"/>
    </row>
    <row r="192" spans="10:11">
      <c r="J192" s="22"/>
      <c r="K192" s="22"/>
    </row>
    <row r="193" spans="10:11">
      <c r="J193" s="22"/>
      <c r="K193" s="22"/>
    </row>
    <row r="194" spans="10:11">
      <c r="J194" s="22"/>
      <c r="K194" s="22"/>
    </row>
    <row r="195" spans="10:11">
      <c r="J195" s="22"/>
      <c r="K195" s="22"/>
    </row>
    <row r="196" spans="10:11">
      <c r="J196" s="22"/>
      <c r="K196" s="22"/>
    </row>
    <row r="197" spans="10:11">
      <c r="J197" s="22"/>
      <c r="K197" s="22"/>
    </row>
    <row r="198" spans="10:11">
      <c r="J198" s="22"/>
      <c r="K198" s="22"/>
    </row>
    <row r="199" spans="10:11">
      <c r="J199" s="22"/>
      <c r="K199" s="22"/>
    </row>
    <row r="200" spans="10:11">
      <c r="J200" s="22"/>
      <c r="K200" s="22"/>
    </row>
    <row r="201" spans="10:11">
      <c r="J201" s="22"/>
      <c r="K201" s="22"/>
    </row>
    <row r="202" spans="10:11">
      <c r="J202" s="22"/>
      <c r="K202" s="22"/>
    </row>
    <row r="203" spans="10:11">
      <c r="J203" s="22"/>
      <c r="K203" s="22"/>
    </row>
    <row r="204" spans="10:11">
      <c r="J204" s="22"/>
      <c r="K204" s="22"/>
    </row>
    <row r="205" spans="10:11">
      <c r="J205" s="22"/>
      <c r="K205" s="22"/>
    </row>
    <row r="206" spans="10:11">
      <c r="J206" s="22"/>
      <c r="K206" s="22"/>
    </row>
    <row r="207" spans="10:11">
      <c r="J207" s="22"/>
      <c r="K207" s="22"/>
    </row>
    <row r="208" spans="10:11">
      <c r="J208" s="22"/>
      <c r="K208" s="22"/>
    </row>
    <row r="209" spans="10:11">
      <c r="J209" s="22"/>
      <c r="K209" s="22"/>
    </row>
    <row r="210" spans="10:11">
      <c r="J210" s="22"/>
      <c r="K210" s="22"/>
    </row>
    <row r="211" spans="10:11">
      <c r="J211" s="22"/>
      <c r="K211" s="22"/>
    </row>
    <row r="212" spans="10:11">
      <c r="J212" s="22"/>
      <c r="K212" s="22"/>
    </row>
    <row r="213" spans="10:11">
      <c r="J213" s="22"/>
      <c r="K213" s="22"/>
    </row>
    <row r="214" spans="10:11">
      <c r="J214" s="22"/>
      <c r="K214" s="22"/>
    </row>
    <row r="215" spans="10:11">
      <c r="J215" s="22"/>
      <c r="K215" s="22"/>
    </row>
    <row r="216" spans="10:11">
      <c r="J216" s="22"/>
      <c r="K216" s="22"/>
    </row>
    <row r="217" spans="10:11">
      <c r="J217" s="22"/>
      <c r="K217" s="22"/>
    </row>
    <row r="218" spans="10:11">
      <c r="J218" s="22"/>
      <c r="K218" s="22"/>
    </row>
    <row r="219" spans="10:11">
      <c r="J219" s="22"/>
      <c r="K219" s="22"/>
    </row>
    <row r="220" spans="10:11">
      <c r="J220" s="22"/>
      <c r="K220" s="22"/>
    </row>
    <row r="221" spans="10:11">
      <c r="J221" s="22"/>
      <c r="K221" s="22"/>
    </row>
    <row r="222" spans="10:11">
      <c r="J222" s="22"/>
      <c r="K222" s="22"/>
    </row>
    <row r="223" spans="10:11">
      <c r="J223" s="22"/>
      <c r="K223" s="22"/>
    </row>
    <row r="224" spans="10:11">
      <c r="J224" s="22"/>
      <c r="K224" s="22"/>
    </row>
    <row r="225" spans="10:11">
      <c r="J225" s="22"/>
      <c r="K225" s="22"/>
    </row>
    <row r="226" spans="10:11">
      <c r="J226" s="22"/>
      <c r="K226" s="22"/>
    </row>
    <row r="227" spans="10:11">
      <c r="J227" s="22"/>
      <c r="K227" s="22"/>
    </row>
    <row r="228" spans="10:11">
      <c r="J228" s="22"/>
      <c r="K228" s="22"/>
    </row>
    <row r="229" spans="10:11">
      <c r="J229" s="22"/>
      <c r="K229" s="22"/>
    </row>
    <row r="230" spans="10:11">
      <c r="J230" s="22"/>
      <c r="K230" s="22"/>
    </row>
    <row r="231" spans="10:11">
      <c r="J231" s="22"/>
      <c r="K231" s="22"/>
    </row>
    <row r="232" spans="10:11">
      <c r="J232" s="22"/>
      <c r="K232" s="22"/>
    </row>
    <row r="233" spans="10:11">
      <c r="J233" s="22"/>
      <c r="K233" s="22"/>
    </row>
    <row r="234" spans="10:11">
      <c r="J234" s="22"/>
      <c r="K234" s="22"/>
    </row>
    <row r="235" spans="10:11">
      <c r="J235" s="22"/>
      <c r="K235" s="22"/>
    </row>
    <row r="236" spans="10:11">
      <c r="J236" s="22"/>
      <c r="K236" s="22"/>
    </row>
    <row r="237" spans="10:11">
      <c r="J237" s="22"/>
      <c r="K237" s="22"/>
    </row>
    <row r="238" spans="10:11">
      <c r="J238" s="22"/>
      <c r="K238" s="22"/>
    </row>
    <row r="239" spans="10:11">
      <c r="J239" s="22"/>
      <c r="K239" s="22"/>
    </row>
    <row r="240" spans="10:11">
      <c r="J240" s="22"/>
      <c r="K240" s="22"/>
    </row>
    <row r="241" spans="10:11">
      <c r="J241" s="22"/>
      <c r="K241" s="22"/>
    </row>
    <row r="242" spans="10:11">
      <c r="J242" s="22"/>
      <c r="K242" s="22"/>
    </row>
    <row r="243" spans="10:11">
      <c r="J243" s="22"/>
      <c r="K243" s="22"/>
    </row>
    <row r="244" spans="10:11">
      <c r="J244" s="22"/>
      <c r="K244" s="22"/>
    </row>
    <row r="245" spans="10:11">
      <c r="J245" s="22"/>
      <c r="K245" s="22"/>
    </row>
    <row r="246" spans="10:11">
      <c r="J246" s="22"/>
      <c r="K246" s="22"/>
    </row>
    <row r="247" spans="10:11">
      <c r="J247" s="22"/>
      <c r="K247" s="22"/>
    </row>
    <row r="248" spans="10:11">
      <c r="J248" s="22"/>
      <c r="K248" s="22"/>
    </row>
    <row r="249" spans="10:11">
      <c r="J249" s="22"/>
      <c r="K249" s="22"/>
    </row>
    <row r="250" spans="10:11">
      <c r="J250" s="22"/>
      <c r="K250" s="22"/>
    </row>
    <row r="251" spans="10:11">
      <c r="J251" s="22"/>
      <c r="K251" s="22"/>
    </row>
    <row r="252" spans="10:11">
      <c r="J252" s="22"/>
      <c r="K252" s="22"/>
    </row>
    <row r="253" spans="10:11">
      <c r="J253" s="22"/>
      <c r="K253" s="22"/>
    </row>
    <row r="254" spans="10:11">
      <c r="J254" s="22"/>
      <c r="K254" s="22"/>
    </row>
    <row r="255" spans="10:11">
      <c r="J255" s="22"/>
      <c r="K255" s="22"/>
    </row>
    <row r="256" spans="10:11">
      <c r="J256" s="22"/>
      <c r="K256" s="22"/>
    </row>
    <row r="257" spans="10:11">
      <c r="J257" s="22"/>
      <c r="K257" s="22"/>
    </row>
    <row r="258" spans="10:11">
      <c r="J258" s="22"/>
      <c r="K258" s="22"/>
    </row>
    <row r="259" spans="10:11">
      <c r="J259" s="22"/>
      <c r="K259" s="22"/>
    </row>
    <row r="260" spans="10:11">
      <c r="J260" s="22"/>
      <c r="K260" s="22"/>
    </row>
    <row r="261" spans="10:11">
      <c r="J261" s="22"/>
      <c r="K261" s="22"/>
    </row>
    <row r="262" spans="10:11">
      <c r="J262" s="22"/>
      <c r="K262" s="22"/>
    </row>
    <row r="263" spans="10:11">
      <c r="J263" s="22"/>
      <c r="K263" s="22"/>
    </row>
    <row r="264" spans="10:11">
      <c r="J264" s="22"/>
      <c r="K264" s="22"/>
    </row>
    <row r="265" spans="10:11">
      <c r="J265" s="22"/>
      <c r="K265" s="22"/>
    </row>
    <row r="266" spans="10:11">
      <c r="J266" s="22"/>
      <c r="K266" s="22"/>
    </row>
    <row r="267" spans="10:11">
      <c r="J267" s="22"/>
      <c r="K267" s="22"/>
    </row>
    <row r="268" spans="10:11">
      <c r="J268" s="22"/>
      <c r="K268" s="22"/>
    </row>
    <row r="269" spans="10:11">
      <c r="J269" s="22"/>
      <c r="K269" s="22"/>
    </row>
    <row r="270" spans="10:11">
      <c r="J270" s="22"/>
      <c r="K270" s="22"/>
    </row>
    <row r="271" spans="10:11">
      <c r="J271" s="22"/>
      <c r="K271" s="22"/>
    </row>
    <row r="272" spans="10:11">
      <c r="J272" s="22"/>
      <c r="K272" s="22"/>
    </row>
    <row r="273" spans="10:11">
      <c r="J273" s="22"/>
      <c r="K273" s="22"/>
    </row>
    <row r="274" spans="10:11">
      <c r="J274" s="22"/>
      <c r="K274" s="22"/>
    </row>
    <row r="275" spans="10:11">
      <c r="J275" s="22"/>
      <c r="K275" s="22"/>
    </row>
    <row r="276" spans="10:11">
      <c r="J276" s="22"/>
      <c r="K276" s="22"/>
    </row>
    <row r="277" spans="10:11">
      <c r="J277" s="22"/>
      <c r="K277" s="22"/>
    </row>
    <row r="278" spans="10:11">
      <c r="J278" s="22"/>
      <c r="K278" s="22"/>
    </row>
    <row r="279" spans="10:11">
      <c r="J279" s="22"/>
      <c r="K279" s="22"/>
    </row>
    <row r="280" spans="10:11">
      <c r="J280" s="22"/>
      <c r="K280" s="22"/>
    </row>
    <row r="281" spans="10:11">
      <c r="J281" s="22"/>
      <c r="K281" s="22"/>
    </row>
    <row r="282" spans="10:11">
      <c r="J282" s="22"/>
      <c r="K282" s="22"/>
    </row>
    <row r="283" spans="10:11">
      <c r="J283" s="22"/>
      <c r="K283" s="22"/>
    </row>
    <row r="284" spans="10:11">
      <c r="J284" s="22"/>
      <c r="K284" s="22"/>
    </row>
    <row r="285" spans="10:11">
      <c r="J285" s="22"/>
      <c r="K285" s="22"/>
    </row>
    <row r="286" spans="10:11">
      <c r="J286" s="22"/>
      <c r="K286" s="22"/>
    </row>
    <row r="287" spans="10:11">
      <c r="J287" s="22"/>
      <c r="K287" s="22"/>
    </row>
    <row r="288" spans="10:11">
      <c r="J288" s="22"/>
      <c r="K288" s="22"/>
    </row>
    <row r="289" spans="10:11">
      <c r="J289" s="22"/>
      <c r="K289" s="22"/>
    </row>
    <row r="290" spans="10:11">
      <c r="J290" s="22"/>
      <c r="K290" s="22"/>
    </row>
    <row r="291" spans="10:11">
      <c r="J291" s="22"/>
      <c r="K291" s="22"/>
    </row>
    <row r="292" spans="10:11">
      <c r="J292" s="22"/>
      <c r="K292" s="22"/>
    </row>
    <row r="293" spans="10:11">
      <c r="J293" s="22"/>
      <c r="K293" s="22"/>
    </row>
    <row r="294" spans="10:11">
      <c r="J294" s="22"/>
      <c r="K294" s="22"/>
    </row>
    <row r="295" spans="10:11">
      <c r="J295" s="22"/>
      <c r="K295" s="22"/>
    </row>
    <row r="296" spans="10:11">
      <c r="J296" s="22"/>
      <c r="K296" s="22"/>
    </row>
    <row r="297" spans="10:11">
      <c r="J297" s="22"/>
      <c r="K297" s="22"/>
    </row>
    <row r="298" spans="10:11">
      <c r="J298" s="22"/>
      <c r="K298" s="22"/>
    </row>
    <row r="299" spans="10:11">
      <c r="J299" s="22"/>
      <c r="K299" s="22"/>
    </row>
    <row r="300" spans="10:11">
      <c r="J300" s="22"/>
      <c r="K300" s="22"/>
    </row>
    <row r="301" spans="10:11">
      <c r="J301" s="22"/>
      <c r="K301" s="22"/>
    </row>
    <row r="302" spans="10:11">
      <c r="J302" s="22"/>
      <c r="K302" s="22"/>
    </row>
    <row r="303" spans="10:11">
      <c r="J303" s="22"/>
      <c r="K303" s="22"/>
    </row>
    <row r="304" spans="10:11">
      <c r="J304" s="22"/>
      <c r="K304" s="22"/>
    </row>
    <row r="305" spans="10:11">
      <c r="J305" s="22"/>
      <c r="K305" s="22"/>
    </row>
    <row r="306" spans="10:11">
      <c r="J306" s="22"/>
      <c r="K306" s="22"/>
    </row>
    <row r="307" spans="10:11">
      <c r="J307" s="22"/>
      <c r="K307" s="22"/>
    </row>
    <row r="308" spans="10:11">
      <c r="J308" s="22"/>
      <c r="K308" s="22"/>
    </row>
    <row r="309" spans="10:11">
      <c r="J309" s="22"/>
      <c r="K309" s="22"/>
    </row>
    <row r="310" spans="10:11">
      <c r="J310" s="22"/>
      <c r="K310" s="22"/>
    </row>
    <row r="311" spans="10:11">
      <c r="J311" s="22"/>
      <c r="K311" s="22"/>
    </row>
    <row r="312" spans="10:11">
      <c r="J312" s="22"/>
      <c r="K312" s="22"/>
    </row>
    <row r="313" spans="10:11">
      <c r="J313" s="22"/>
      <c r="K313" s="22"/>
    </row>
    <row r="314" spans="10:11">
      <c r="J314" s="22"/>
      <c r="K314" s="22"/>
    </row>
    <row r="315" spans="10:11">
      <c r="J315" s="22"/>
      <c r="K315" s="22"/>
    </row>
    <row r="316" spans="10:11">
      <c r="J316" s="22"/>
      <c r="K316" s="22"/>
    </row>
    <row r="317" spans="10:11">
      <c r="J317" s="22"/>
      <c r="K317" s="22"/>
    </row>
    <row r="318" spans="10:11">
      <c r="J318" s="22"/>
      <c r="K318" s="22"/>
    </row>
    <row r="319" spans="10:11">
      <c r="J319" s="22"/>
      <c r="K319" s="22"/>
    </row>
    <row r="320" spans="10:11">
      <c r="J320" s="22"/>
      <c r="K320" s="22"/>
    </row>
    <row r="321" spans="10:11">
      <c r="J321" s="22"/>
      <c r="K321" s="22"/>
    </row>
    <row r="322" spans="10:11">
      <c r="J322" s="22"/>
      <c r="K322" s="22"/>
    </row>
    <row r="323" spans="10:11">
      <c r="J323" s="22"/>
      <c r="K323" s="22"/>
    </row>
    <row r="324" spans="10:11">
      <c r="J324" s="22"/>
      <c r="K324" s="22"/>
    </row>
    <row r="325" spans="10:11">
      <c r="J325" s="22"/>
      <c r="K325" s="22"/>
    </row>
    <row r="326" spans="10:11">
      <c r="J326" s="22"/>
      <c r="K326" s="22"/>
    </row>
    <row r="327" spans="10:11">
      <c r="J327" s="22"/>
      <c r="K327" s="22"/>
    </row>
    <row r="328" spans="10:11">
      <c r="J328" s="22"/>
      <c r="K328" s="22"/>
    </row>
    <row r="329" spans="10:11">
      <c r="J329" s="22"/>
      <c r="K329" s="22"/>
    </row>
    <row r="330" spans="10:11">
      <c r="J330" s="22"/>
      <c r="K330" s="22"/>
    </row>
    <row r="331" spans="10:11">
      <c r="J331" s="22"/>
      <c r="K331" s="22"/>
    </row>
    <row r="332" spans="10:11">
      <c r="J332" s="22"/>
      <c r="K332" s="22"/>
    </row>
    <row r="333" spans="10:11">
      <c r="J333" s="22"/>
      <c r="K333" s="22"/>
    </row>
    <row r="334" spans="10:11">
      <c r="J334" s="22"/>
      <c r="K334" s="22"/>
    </row>
    <row r="335" spans="10:11">
      <c r="J335" s="22"/>
      <c r="K335" s="22"/>
    </row>
    <row r="336" spans="10:11">
      <c r="J336" s="22"/>
      <c r="K336" s="22"/>
    </row>
    <row r="337" spans="10:11">
      <c r="J337" s="22"/>
      <c r="K337" s="22"/>
    </row>
    <row r="338" spans="10:11">
      <c r="J338" s="22"/>
      <c r="K338" s="22"/>
    </row>
    <row r="339" spans="10:11">
      <c r="J339" s="22"/>
      <c r="K339" s="22"/>
    </row>
    <row r="340" spans="10:11">
      <c r="J340" s="22"/>
      <c r="K340" s="22"/>
    </row>
    <row r="341" spans="10:11">
      <c r="J341" s="22"/>
      <c r="K341" s="22"/>
    </row>
    <row r="342" spans="10:11">
      <c r="J342" s="22"/>
      <c r="K342" s="22"/>
    </row>
    <row r="343" spans="10:11">
      <c r="J343" s="22"/>
      <c r="K343" s="22"/>
    </row>
    <row r="344" spans="10:11">
      <c r="J344" s="22"/>
      <c r="K344" s="22"/>
    </row>
    <row r="345" spans="10:11">
      <c r="J345" s="22"/>
      <c r="K345" s="22"/>
    </row>
    <row r="346" spans="10:11">
      <c r="J346" s="22"/>
      <c r="K346" s="22"/>
    </row>
    <row r="347" spans="10:11">
      <c r="J347" s="22"/>
      <c r="K347" s="22"/>
    </row>
    <row r="348" spans="10:11">
      <c r="J348" s="22"/>
      <c r="K348" s="22"/>
    </row>
    <row r="349" spans="10:11">
      <c r="J349" s="22"/>
      <c r="K349" s="22"/>
    </row>
    <row r="350" spans="10:11">
      <c r="J350" s="22"/>
      <c r="K350" s="22"/>
    </row>
    <row r="351" spans="10:11">
      <c r="J351" s="22"/>
      <c r="K351" s="22"/>
    </row>
    <row r="352" spans="10:11">
      <c r="J352" s="22"/>
      <c r="K352" s="22"/>
    </row>
    <row r="353" spans="10:11">
      <c r="J353" s="22"/>
      <c r="K353" s="22"/>
    </row>
    <row r="354" spans="10:11">
      <c r="J354" s="22"/>
      <c r="K354" s="22"/>
    </row>
    <row r="355" spans="10:11">
      <c r="J355" s="22"/>
      <c r="K355" s="22"/>
    </row>
    <row r="356" spans="10:11">
      <c r="J356" s="22"/>
      <c r="K356" s="22"/>
    </row>
    <row r="357" spans="10:11">
      <c r="J357" s="22"/>
      <c r="K357" s="22"/>
    </row>
    <row r="358" spans="10:11">
      <c r="J358" s="22"/>
      <c r="K358" s="22"/>
    </row>
    <row r="359" spans="10:11">
      <c r="J359" s="22"/>
      <c r="K359" s="22"/>
    </row>
    <row r="360" spans="10:11">
      <c r="J360" s="22"/>
      <c r="K360" s="22"/>
    </row>
    <row r="361" spans="10:11">
      <c r="J361" s="22"/>
      <c r="K361" s="22"/>
    </row>
    <row r="362" spans="10:11">
      <c r="J362" s="22"/>
      <c r="K362" s="22"/>
    </row>
    <row r="363" spans="10:11">
      <c r="J363" s="22"/>
      <c r="K363" s="22"/>
    </row>
    <row r="364" spans="10:11">
      <c r="J364" s="22"/>
      <c r="K364" s="22"/>
    </row>
    <row r="365" spans="10:11">
      <c r="J365" s="22"/>
      <c r="K365" s="22"/>
    </row>
    <row r="366" spans="10:11">
      <c r="J366" s="22"/>
      <c r="K366" s="22"/>
    </row>
    <row r="367" spans="10:11">
      <c r="J367" s="22"/>
      <c r="K367" s="22"/>
    </row>
    <row r="368" spans="10:11">
      <c r="J368" s="22"/>
      <c r="K368" s="22"/>
    </row>
    <row r="369" spans="10:11">
      <c r="J369" s="22"/>
      <c r="K369" s="22"/>
    </row>
    <row r="370" spans="10:11">
      <c r="J370" s="22"/>
      <c r="K370" s="22"/>
    </row>
    <row r="371" spans="10:11">
      <c r="J371" s="22"/>
      <c r="K371" s="22"/>
    </row>
    <row r="372" spans="10:11">
      <c r="J372" s="22"/>
      <c r="K372" s="22"/>
    </row>
    <row r="373" spans="10:11">
      <c r="J373" s="22"/>
      <c r="K373" s="22"/>
    </row>
    <row r="374" spans="10:11">
      <c r="J374" s="22"/>
      <c r="K374" s="22"/>
    </row>
    <row r="375" spans="10:11">
      <c r="J375" s="22"/>
      <c r="K375" s="22"/>
    </row>
    <row r="376" spans="10:11">
      <c r="J376" s="22"/>
      <c r="K376" s="22"/>
    </row>
    <row r="377" spans="10:11">
      <c r="J377" s="22"/>
      <c r="K377" s="22"/>
    </row>
    <row r="378" spans="10:11">
      <c r="J378" s="22"/>
      <c r="K378" s="22"/>
    </row>
    <row r="379" spans="10:11">
      <c r="J379" s="22"/>
      <c r="K379" s="22"/>
    </row>
    <row r="380" spans="10:11">
      <c r="J380" s="22"/>
      <c r="K380" s="22"/>
    </row>
    <row r="381" spans="10:11">
      <c r="J381" s="22"/>
      <c r="K381" s="22"/>
    </row>
    <row r="382" spans="10:11">
      <c r="J382" s="22"/>
      <c r="K382" s="22"/>
    </row>
    <row r="383" spans="10:11">
      <c r="J383" s="22"/>
      <c r="K383" s="22"/>
    </row>
    <row r="384" spans="10:11">
      <c r="J384" s="22"/>
      <c r="K384" s="22"/>
    </row>
    <row r="385" spans="10:11">
      <c r="J385" s="22"/>
      <c r="K385" s="22"/>
    </row>
    <row r="386" spans="10:11">
      <c r="J386" s="22"/>
      <c r="K386" s="22"/>
    </row>
    <row r="387" spans="10:11">
      <c r="J387" s="22"/>
      <c r="K387" s="22"/>
    </row>
    <row r="388" spans="10:11">
      <c r="J388" s="22"/>
      <c r="K388" s="22"/>
    </row>
    <row r="389" spans="10:11">
      <c r="J389" s="22"/>
      <c r="K389" s="22"/>
    </row>
    <row r="390" spans="10:11">
      <c r="J390" s="22"/>
      <c r="K390" s="22"/>
    </row>
    <row r="391" spans="10:11">
      <c r="J391" s="22"/>
      <c r="K391" s="22"/>
    </row>
    <row r="392" spans="10:11">
      <c r="J392" s="22"/>
      <c r="K392" s="22"/>
    </row>
    <row r="393" spans="10:11">
      <c r="J393" s="22"/>
      <c r="K393" s="22"/>
    </row>
    <row r="394" spans="10:11">
      <c r="J394" s="22"/>
      <c r="K394" s="22"/>
    </row>
    <row r="395" spans="10:11">
      <c r="J395" s="22"/>
      <c r="K395" s="22"/>
    </row>
    <row r="396" spans="10:11">
      <c r="J396" s="22"/>
      <c r="K396" s="22"/>
    </row>
    <row r="397" spans="10:11">
      <c r="J397" s="22"/>
      <c r="K397" s="22"/>
    </row>
    <row r="398" spans="10:11">
      <c r="J398" s="22"/>
      <c r="K398" s="22"/>
    </row>
    <row r="399" spans="10:11">
      <c r="J399" s="22"/>
      <c r="K399" s="22"/>
    </row>
    <row r="400" spans="10:11">
      <c r="J400" s="22"/>
      <c r="K400" s="22"/>
    </row>
    <row r="401" spans="10:11">
      <c r="J401" s="22"/>
      <c r="K401" s="22"/>
    </row>
  </sheetData>
  <sheetProtection algorithmName="SHA-512" hashValue="yn0dV96iEEpQrtvJ4vQKKvOLPxP1cKaHsnvnvaYngwzrG6rDL75ga56zWicU/JxjcFpEZQEe2OdICmJ40UTIiA==" saltValue="9676NCiEcG6i7UVBneyZpw==" spinCount="100000" sheet="1" objects="1" scenarios="1"/>
  <mergeCells count="59">
    <mergeCell ref="A19:B19"/>
    <mergeCell ref="C19:D19"/>
    <mergeCell ref="J19:K19"/>
    <mergeCell ref="A17:B17"/>
    <mergeCell ref="C17:D17"/>
    <mergeCell ref="J17:K17"/>
    <mergeCell ref="A18:B18"/>
    <mergeCell ref="C18:D18"/>
    <mergeCell ref="J18:K18"/>
    <mergeCell ref="A15:B15"/>
    <mergeCell ref="C15:D15"/>
    <mergeCell ref="J15:K15"/>
    <mergeCell ref="A16:B16"/>
    <mergeCell ref="C16:D16"/>
    <mergeCell ref="J16:K16"/>
    <mergeCell ref="A13:B13"/>
    <mergeCell ref="C13:D13"/>
    <mergeCell ref="J13:K13"/>
    <mergeCell ref="A14:B14"/>
    <mergeCell ref="C14:D14"/>
    <mergeCell ref="J14:K14"/>
    <mergeCell ref="A11:B11"/>
    <mergeCell ref="C11:D11"/>
    <mergeCell ref="J11:K11"/>
    <mergeCell ref="A12:B12"/>
    <mergeCell ref="C12:D12"/>
    <mergeCell ref="J12:K12"/>
    <mergeCell ref="A9:B9"/>
    <mergeCell ref="C9:D9"/>
    <mergeCell ref="J9:K9"/>
    <mergeCell ref="A10:B10"/>
    <mergeCell ref="C10:D10"/>
    <mergeCell ref="J10:K10"/>
    <mergeCell ref="A7:B7"/>
    <mergeCell ref="C7:D7"/>
    <mergeCell ref="J7:K7"/>
    <mergeCell ref="A8:B8"/>
    <mergeCell ref="C8:D8"/>
    <mergeCell ref="J8:K8"/>
    <mergeCell ref="A5:B5"/>
    <mergeCell ref="C5:D5"/>
    <mergeCell ref="J5:K5"/>
    <mergeCell ref="A6:B6"/>
    <mergeCell ref="C6:D6"/>
    <mergeCell ref="J6:K6"/>
    <mergeCell ref="A3:B3"/>
    <mergeCell ref="C3:D3"/>
    <mergeCell ref="J3:K3"/>
    <mergeCell ref="A4:B4"/>
    <mergeCell ref="C4:D4"/>
    <mergeCell ref="J4:K4"/>
    <mergeCell ref="A1:G1"/>
    <mergeCell ref="H1:H2"/>
    <mergeCell ref="I1:I2"/>
    <mergeCell ref="J1:K1"/>
    <mergeCell ref="L1:L2"/>
    <mergeCell ref="A2:B2"/>
    <mergeCell ref="C2:D2"/>
    <mergeCell ref="J2:K2"/>
  </mergeCells>
  <conditionalFormatting sqref="H6">
    <cfRule type="expression" priority="1" stopIfTrue="1">
      <formula>$G$6=0</formula>
    </cfRule>
    <cfRule type="expression" priority="12" stopIfTrue="1">
      <formula>NOT(ISBLANK($L$6))</formula>
    </cfRule>
    <cfRule type="expression" dxfId="8" priority="19">
      <formula>$H$6=0</formula>
    </cfRule>
    <cfRule type="expression" priority="20" stopIfTrue="1">
      <formula>NOT(ISBLANK($H$6))</formula>
    </cfRule>
    <cfRule type="expression" dxfId="7" priority="21">
      <formula>OR($C$6&gt;0,$E$6&gt;0,$F$6&gt;0)</formula>
    </cfRule>
  </conditionalFormatting>
  <conditionalFormatting sqref="H10">
    <cfRule type="expression" priority="9" stopIfTrue="1">
      <formula>$G$10=0</formula>
    </cfRule>
    <cfRule type="expression" priority="10" stopIfTrue="1">
      <formula>NOT(ISBLANK($L$10))</formula>
    </cfRule>
    <cfRule type="expression" dxfId="6" priority="16">
      <formula>$H$10=0</formula>
    </cfRule>
    <cfRule type="expression" priority="17" stopIfTrue="1">
      <formula>NOT(ISBLANK($H$10))</formula>
    </cfRule>
    <cfRule type="expression" dxfId="5" priority="18">
      <formula>OR($C$10&gt;0,$E$10&gt;0,$F$10&gt;0)</formula>
    </cfRule>
  </conditionalFormatting>
  <conditionalFormatting sqref="H11">
    <cfRule type="expression" priority="7" stopIfTrue="1">
      <formula>$G$11=0</formula>
    </cfRule>
    <cfRule type="expression" priority="8" stopIfTrue="1">
      <formula>NOT(ISBLANK($L$11))</formula>
    </cfRule>
    <cfRule type="expression" dxfId="4" priority="13">
      <formula>$H$11=0</formula>
    </cfRule>
    <cfRule type="expression" priority="14" stopIfTrue="1">
      <formula>NOT(ISBLANK($H$11))</formula>
    </cfRule>
    <cfRule type="expression" dxfId="3" priority="15">
      <formula>OR($C$11&gt;0,$E$11&gt;0,$F$11&gt;0)</formula>
    </cfRule>
  </conditionalFormatting>
  <conditionalFormatting sqref="H16">
    <cfRule type="expression" priority="2" stopIfTrue="1">
      <formula>$G$16=0</formula>
    </cfRule>
    <cfRule type="expression" priority="3" stopIfTrue="1">
      <formula>NOT(ISBLANK($L$16))</formula>
    </cfRule>
    <cfRule type="expression" dxfId="2" priority="4">
      <formula>$H$16=0</formula>
    </cfRule>
    <cfRule type="expression" priority="5" stopIfTrue="1">
      <formula>NOT(ISBLANK($H$16))</formula>
    </cfRule>
    <cfRule type="expression" dxfId="1" priority="6">
      <formula>OR($C$16&gt;0,$E$16&gt;0,$F$16&gt;0)</formula>
    </cfRule>
  </conditionalFormatting>
  <pageMargins left="0.7" right="0.7" top="0.75" bottom="0.75" header="0.3" footer="0.3"/>
  <pageSetup scale="67"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7269C-BC0C-450E-A8B6-AE803770787B}">
  <dimension ref="A1:B52"/>
  <sheetViews>
    <sheetView workbookViewId="0">
      <selection activeCell="D21" sqref="D21"/>
    </sheetView>
  </sheetViews>
  <sheetFormatPr defaultRowHeight="15.5"/>
  <cols>
    <col min="1" max="1" width="5" bestFit="1" customWidth="1"/>
    <col min="2" max="2" width="13.5" bestFit="1" customWidth="1"/>
    <col min="3" max="3" width="3.83203125" bestFit="1" customWidth="1"/>
    <col min="4" max="4" width="52.08203125" bestFit="1" customWidth="1"/>
    <col min="11" max="11" width="13.58203125" bestFit="1" customWidth="1"/>
    <col min="12" max="13" width="9.6640625" bestFit="1" customWidth="1"/>
    <col min="14" max="14" width="9.1640625" bestFit="1" customWidth="1"/>
    <col min="15" max="16" width="9.6640625" bestFit="1" customWidth="1"/>
    <col min="17" max="17" width="10.4140625" customWidth="1"/>
    <col min="18" max="21" width="9.6640625" bestFit="1" customWidth="1"/>
    <col min="23" max="24" width="9.6640625" bestFit="1" customWidth="1"/>
    <col min="25" max="25" width="9.1640625" bestFit="1" customWidth="1"/>
    <col min="26" max="32" width="9.6640625" bestFit="1" customWidth="1"/>
    <col min="33" max="33" width="13.58203125" bestFit="1" customWidth="1"/>
  </cols>
  <sheetData>
    <row r="1" spans="1:2">
      <c r="A1" t="s">
        <v>11</v>
      </c>
      <c r="B1" t="s">
        <v>390</v>
      </c>
    </row>
    <row r="2" spans="1:2">
      <c r="A2" t="s">
        <v>125</v>
      </c>
      <c r="B2" s="2">
        <v>0.05</v>
      </c>
    </row>
    <row r="3" spans="1:2">
      <c r="A3" t="s">
        <v>149</v>
      </c>
      <c r="B3" s="2">
        <v>0.01</v>
      </c>
    </row>
    <row r="4" spans="1:2">
      <c r="A4" t="s">
        <v>150</v>
      </c>
      <c r="B4" s="2">
        <v>0.01</v>
      </c>
    </row>
    <row r="5" spans="1:2">
      <c r="A5" t="s">
        <v>151</v>
      </c>
      <c r="B5" s="2">
        <v>0.01</v>
      </c>
    </row>
    <row r="6" spans="1:2">
      <c r="A6" t="s">
        <v>152</v>
      </c>
      <c r="B6" s="2">
        <v>0.01</v>
      </c>
    </row>
    <row r="7" spans="1:2">
      <c r="A7" t="s">
        <v>153</v>
      </c>
      <c r="B7" s="2">
        <v>0.01</v>
      </c>
    </row>
    <row r="8" spans="1:2">
      <c r="A8" t="s">
        <v>154</v>
      </c>
      <c r="B8" s="2">
        <v>0.01</v>
      </c>
    </row>
    <row r="9" spans="1:2">
      <c r="A9" t="s">
        <v>155</v>
      </c>
      <c r="B9" s="2">
        <v>0.01</v>
      </c>
    </row>
    <row r="10" spans="1:2">
      <c r="A10" t="s">
        <v>156</v>
      </c>
      <c r="B10" s="2">
        <v>0.01</v>
      </c>
    </row>
    <row r="11" spans="1:2">
      <c r="A11" t="s">
        <v>157</v>
      </c>
      <c r="B11" s="2">
        <v>0.01</v>
      </c>
    </row>
    <row r="12" spans="1:2">
      <c r="A12" t="s">
        <v>158</v>
      </c>
      <c r="B12" s="2">
        <v>0.01</v>
      </c>
    </row>
    <row r="13" spans="1:2">
      <c r="A13" t="s">
        <v>159</v>
      </c>
      <c r="B13" s="2">
        <v>0.01</v>
      </c>
    </row>
    <row r="14" spans="1:2">
      <c r="A14" t="s">
        <v>160</v>
      </c>
      <c r="B14" s="2">
        <v>0.01</v>
      </c>
    </row>
    <row r="15" spans="1:2">
      <c r="A15" t="s">
        <v>161</v>
      </c>
      <c r="B15" s="2">
        <v>0.01</v>
      </c>
    </row>
    <row r="16" spans="1:2">
      <c r="A16" t="s">
        <v>162</v>
      </c>
      <c r="B16" s="2">
        <v>0.01</v>
      </c>
    </row>
    <row r="17" spans="1:2">
      <c r="A17" t="s">
        <v>163</v>
      </c>
      <c r="B17" s="2">
        <v>0.01</v>
      </c>
    </row>
    <row r="18" spans="1:2">
      <c r="A18" t="s">
        <v>164</v>
      </c>
      <c r="B18" s="2">
        <v>0.01</v>
      </c>
    </row>
    <row r="19" spans="1:2">
      <c r="A19" t="s">
        <v>165</v>
      </c>
      <c r="B19" s="2">
        <v>0.01</v>
      </c>
    </row>
    <row r="20" spans="1:2">
      <c r="A20" t="s">
        <v>166</v>
      </c>
      <c r="B20" s="2">
        <v>0.01</v>
      </c>
    </row>
    <row r="21" spans="1:2">
      <c r="A21" t="s">
        <v>167</v>
      </c>
      <c r="B21" s="2">
        <v>0.01</v>
      </c>
    </row>
    <row r="22" spans="1:2">
      <c r="A22" t="s">
        <v>168</v>
      </c>
      <c r="B22" s="2">
        <v>0.01</v>
      </c>
    </row>
    <row r="23" spans="1:2">
      <c r="A23" t="s">
        <v>169</v>
      </c>
      <c r="B23" s="2">
        <v>0.01</v>
      </c>
    </row>
    <row r="24" spans="1:2">
      <c r="A24" t="s">
        <v>170</v>
      </c>
      <c r="B24" s="2">
        <v>0.01</v>
      </c>
    </row>
    <row r="25" spans="1:2">
      <c r="A25" t="s">
        <v>171</v>
      </c>
      <c r="B25" s="2">
        <v>0.01</v>
      </c>
    </row>
    <row r="26" spans="1:2">
      <c r="A26" t="s">
        <v>172</v>
      </c>
      <c r="B26" s="2">
        <v>0.01</v>
      </c>
    </row>
    <row r="27" spans="1:2">
      <c r="A27" t="s">
        <v>173</v>
      </c>
      <c r="B27" s="2">
        <v>0.01</v>
      </c>
    </row>
    <row r="28" spans="1:2">
      <c r="A28" t="s">
        <v>174</v>
      </c>
      <c r="B28" s="2">
        <v>0.01</v>
      </c>
    </row>
    <row r="29" spans="1:2">
      <c r="A29" t="s">
        <v>175</v>
      </c>
      <c r="B29" s="2">
        <v>0.01</v>
      </c>
    </row>
    <row r="30" spans="1:2">
      <c r="A30" t="s">
        <v>176</v>
      </c>
      <c r="B30" s="2">
        <v>0.01</v>
      </c>
    </row>
    <row r="31" spans="1:2">
      <c r="A31" t="s">
        <v>177</v>
      </c>
      <c r="B31" s="2">
        <v>0.01</v>
      </c>
    </row>
    <row r="32" spans="1:2">
      <c r="A32" t="s">
        <v>178</v>
      </c>
      <c r="B32" s="2">
        <v>0.01</v>
      </c>
    </row>
    <row r="33" spans="1:2">
      <c r="A33" t="s">
        <v>179</v>
      </c>
      <c r="B33" s="2">
        <v>0.01</v>
      </c>
    </row>
    <row r="34" spans="1:2">
      <c r="A34" t="s">
        <v>180</v>
      </c>
      <c r="B34" s="2">
        <v>0.01</v>
      </c>
    </row>
    <row r="35" spans="1:2">
      <c r="A35" t="s">
        <v>181</v>
      </c>
      <c r="B35" s="2">
        <v>0.01</v>
      </c>
    </row>
    <row r="36" spans="1:2">
      <c r="A36" t="s">
        <v>182</v>
      </c>
      <c r="B36" s="2">
        <v>0.01</v>
      </c>
    </row>
    <row r="37" spans="1:2">
      <c r="A37" t="s">
        <v>183</v>
      </c>
      <c r="B37" s="2">
        <v>0.01</v>
      </c>
    </row>
    <row r="38" spans="1:2">
      <c r="A38" t="s">
        <v>184</v>
      </c>
      <c r="B38" s="2">
        <v>0.01</v>
      </c>
    </row>
    <row r="39" spans="1:2">
      <c r="A39" t="s">
        <v>185</v>
      </c>
      <c r="B39" s="2">
        <v>0.01</v>
      </c>
    </row>
    <row r="40" spans="1:2">
      <c r="A40" t="s">
        <v>186</v>
      </c>
      <c r="B40" s="2">
        <v>0.01</v>
      </c>
    </row>
    <row r="41" spans="1:2">
      <c r="A41" t="s">
        <v>187</v>
      </c>
      <c r="B41" s="2">
        <v>0.01</v>
      </c>
    </row>
    <row r="42" spans="1:2">
      <c r="A42" t="s">
        <v>188</v>
      </c>
      <c r="B42" s="2">
        <v>0.01</v>
      </c>
    </row>
    <row r="43" spans="1:2">
      <c r="A43" t="s">
        <v>189</v>
      </c>
      <c r="B43" s="2">
        <v>0.01</v>
      </c>
    </row>
    <row r="44" spans="1:2">
      <c r="A44" t="s">
        <v>190</v>
      </c>
      <c r="B44" s="2">
        <v>0.01</v>
      </c>
    </row>
    <row r="45" spans="1:2">
      <c r="A45" t="s">
        <v>191</v>
      </c>
      <c r="B45" s="2">
        <v>0.01</v>
      </c>
    </row>
    <row r="46" spans="1:2">
      <c r="A46" t="s">
        <v>192</v>
      </c>
      <c r="B46" s="2">
        <v>0.01</v>
      </c>
    </row>
    <row r="47" spans="1:2">
      <c r="A47" t="s">
        <v>193</v>
      </c>
      <c r="B47" s="2">
        <v>0.01</v>
      </c>
    </row>
    <row r="48" spans="1:2">
      <c r="A48" t="s">
        <v>194</v>
      </c>
      <c r="B48" s="2">
        <v>0.01</v>
      </c>
    </row>
    <row r="49" spans="1:2">
      <c r="A49" t="s">
        <v>195</v>
      </c>
      <c r="B49" s="2">
        <v>0.01</v>
      </c>
    </row>
    <row r="50" spans="1:2">
      <c r="A50" t="s">
        <v>196</v>
      </c>
      <c r="B50" s="2">
        <v>0.01</v>
      </c>
    </row>
    <row r="51" spans="1:2">
      <c r="A51" t="s">
        <v>197</v>
      </c>
      <c r="B51" s="2">
        <v>0.01</v>
      </c>
    </row>
    <row r="52" spans="1:2">
      <c r="A52" t="s">
        <v>198</v>
      </c>
      <c r="B52" s="2">
        <v>0.01</v>
      </c>
    </row>
  </sheetData>
  <conditionalFormatting sqref="A2:A52">
    <cfRule type="expression" dxfId="0" priority="6" stopIfTrue="1">
      <formula>$AI$2=1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4BABC-BC26-435D-8D29-D2730E67B359}">
  <dimension ref="A2:BA50"/>
  <sheetViews>
    <sheetView workbookViewId="0">
      <selection activeCell="C5" sqref="C5"/>
    </sheetView>
  </sheetViews>
  <sheetFormatPr defaultRowHeight="15.5"/>
  <cols>
    <col min="1" max="1" width="33.83203125" customWidth="1"/>
    <col min="2" max="2" width="6.33203125" customWidth="1"/>
    <col min="3" max="53" width="6.1640625" customWidth="1"/>
  </cols>
  <sheetData>
    <row r="2" spans="1:53">
      <c r="A2" s="3"/>
      <c r="B2" s="3">
        <v>1</v>
      </c>
      <c r="C2" s="4" t="s">
        <v>149</v>
      </c>
      <c r="D2" s="4" t="s">
        <v>125</v>
      </c>
      <c r="E2" s="4" t="s">
        <v>151</v>
      </c>
      <c r="F2" s="4" t="s">
        <v>150</v>
      </c>
      <c r="G2" s="4" t="s">
        <v>152</v>
      </c>
      <c r="H2" s="4" t="s">
        <v>153</v>
      </c>
      <c r="I2" s="4" t="s">
        <v>154</v>
      </c>
      <c r="J2" s="4" t="s">
        <v>198</v>
      </c>
      <c r="K2" s="4" t="s">
        <v>155</v>
      </c>
      <c r="L2" s="4" t="s">
        <v>156</v>
      </c>
      <c r="M2" s="4" t="s">
        <v>157</v>
      </c>
      <c r="N2" s="4" t="s">
        <v>158</v>
      </c>
      <c r="O2" s="4" t="s">
        <v>162</v>
      </c>
      <c r="P2" s="4" t="s">
        <v>159</v>
      </c>
      <c r="Q2" s="4" t="s">
        <v>160</v>
      </c>
      <c r="R2" s="4" t="s">
        <v>161</v>
      </c>
      <c r="S2" s="4" t="s">
        <v>163</v>
      </c>
      <c r="T2" s="4" t="s">
        <v>164</v>
      </c>
      <c r="U2" s="4" t="s">
        <v>165</v>
      </c>
      <c r="V2" s="4" t="s">
        <v>168</v>
      </c>
      <c r="W2" s="4" t="s">
        <v>167</v>
      </c>
      <c r="X2" s="4" t="s">
        <v>166</v>
      </c>
      <c r="Y2" s="4" t="s">
        <v>169</v>
      </c>
      <c r="Z2" s="4" t="s">
        <v>170</v>
      </c>
      <c r="AA2" s="4" t="s">
        <v>172</v>
      </c>
      <c r="AB2" s="4" t="s">
        <v>171</v>
      </c>
      <c r="AC2" s="4" t="s">
        <v>173</v>
      </c>
      <c r="AD2" s="4" t="s">
        <v>180</v>
      </c>
      <c r="AE2" s="4" t="s">
        <v>181</v>
      </c>
      <c r="AF2" s="4" t="s">
        <v>174</v>
      </c>
      <c r="AG2" s="4" t="s">
        <v>176</v>
      </c>
      <c r="AH2" s="4" t="s">
        <v>177</v>
      </c>
      <c r="AI2" s="4" t="s">
        <v>178</v>
      </c>
      <c r="AJ2" s="4" t="s">
        <v>175</v>
      </c>
      <c r="AK2" s="4" t="s">
        <v>179</v>
      </c>
      <c r="AL2" s="4" t="s">
        <v>182</v>
      </c>
      <c r="AM2" s="4" t="s">
        <v>183</v>
      </c>
      <c r="AN2" s="4" t="s">
        <v>184</v>
      </c>
      <c r="AO2" s="4" t="s">
        <v>185</v>
      </c>
      <c r="AP2" s="4" t="s">
        <v>186</v>
      </c>
      <c r="AQ2" s="4" t="s">
        <v>187</v>
      </c>
      <c r="AR2" s="4" t="s">
        <v>188</v>
      </c>
      <c r="AS2" s="4" t="s">
        <v>189</v>
      </c>
      <c r="AT2" s="4" t="s">
        <v>190</v>
      </c>
      <c r="AU2" s="4" t="s">
        <v>191</v>
      </c>
      <c r="AV2" s="4" t="s">
        <v>193</v>
      </c>
      <c r="AW2" s="4" t="s">
        <v>192</v>
      </c>
      <c r="AX2" s="4" t="s">
        <v>194</v>
      </c>
      <c r="AY2" s="4" t="s">
        <v>196</v>
      </c>
      <c r="AZ2" s="4" t="s">
        <v>195</v>
      </c>
      <c r="BA2" s="4" t="s">
        <v>197</v>
      </c>
    </row>
    <row r="3" spans="1:53">
      <c r="A3" s="3"/>
      <c r="B3" s="3">
        <v>2</v>
      </c>
      <c r="C3" s="5" t="s">
        <v>407</v>
      </c>
      <c r="D3" s="5" t="s">
        <v>391</v>
      </c>
      <c r="E3" s="5" t="s">
        <v>408</v>
      </c>
      <c r="F3" s="5" t="s">
        <v>409</v>
      </c>
      <c r="G3" s="5" t="s">
        <v>410</v>
      </c>
      <c r="H3" s="5" t="s">
        <v>411</v>
      </c>
      <c r="I3" s="5" t="s">
        <v>412</v>
      </c>
      <c r="J3" s="5" t="s">
        <v>413</v>
      </c>
      <c r="K3" s="5" t="s">
        <v>414</v>
      </c>
      <c r="L3" s="5" t="s">
        <v>392</v>
      </c>
      <c r="M3" s="5" t="s">
        <v>393</v>
      </c>
      <c r="N3" s="5" t="s">
        <v>415</v>
      </c>
      <c r="O3" s="5" t="s">
        <v>416</v>
      </c>
      <c r="P3" s="5" t="s">
        <v>417</v>
      </c>
      <c r="Q3" s="5" t="s">
        <v>418</v>
      </c>
      <c r="R3" s="5" t="s">
        <v>419</v>
      </c>
      <c r="S3" s="5" t="s">
        <v>420</v>
      </c>
      <c r="T3" s="5" t="s">
        <v>394</v>
      </c>
      <c r="U3" s="5" t="s">
        <v>395</v>
      </c>
      <c r="V3" s="5" t="s">
        <v>421</v>
      </c>
      <c r="W3" s="5" t="s">
        <v>422</v>
      </c>
      <c r="X3" s="5" t="s">
        <v>423</v>
      </c>
      <c r="Y3" s="5" t="s">
        <v>424</v>
      </c>
      <c r="Z3" s="5" t="s">
        <v>396</v>
      </c>
      <c r="AA3" s="5" t="s">
        <v>425</v>
      </c>
      <c r="AB3" s="5" t="s">
        <v>397</v>
      </c>
      <c r="AC3" s="5" t="s">
        <v>426</v>
      </c>
      <c r="AD3" s="5" t="s">
        <v>427</v>
      </c>
      <c r="AE3" s="5" t="s">
        <v>428</v>
      </c>
      <c r="AF3" s="5" t="s">
        <v>429</v>
      </c>
      <c r="AG3" s="5" t="s">
        <v>430</v>
      </c>
      <c r="AH3" s="5" t="s">
        <v>431</v>
      </c>
      <c r="AI3" s="5" t="s">
        <v>432</v>
      </c>
      <c r="AJ3" s="5" t="s">
        <v>433</v>
      </c>
      <c r="AK3" s="5" t="s">
        <v>398</v>
      </c>
      <c r="AL3" s="5" t="s">
        <v>434</v>
      </c>
      <c r="AM3" s="5" t="s">
        <v>435</v>
      </c>
      <c r="AN3" s="5" t="s">
        <v>436</v>
      </c>
      <c r="AO3" s="5" t="s">
        <v>437</v>
      </c>
      <c r="AP3" s="5" t="s">
        <v>438</v>
      </c>
      <c r="AQ3" s="5" t="s">
        <v>399</v>
      </c>
      <c r="AR3" s="5" t="s">
        <v>439</v>
      </c>
      <c r="AS3" s="5" t="s">
        <v>440</v>
      </c>
      <c r="AT3" s="5" t="s">
        <v>441</v>
      </c>
      <c r="AU3" s="5" t="s">
        <v>442</v>
      </c>
      <c r="AV3" s="5" t="s">
        <v>443</v>
      </c>
      <c r="AW3" s="5" t="s">
        <v>444</v>
      </c>
      <c r="AX3" s="5" t="s">
        <v>445</v>
      </c>
      <c r="AY3" s="5" t="s">
        <v>446</v>
      </c>
      <c r="AZ3" s="5" t="s">
        <v>400</v>
      </c>
      <c r="BA3" s="5" t="s">
        <v>447</v>
      </c>
    </row>
    <row r="4" spans="1:53" s="9" customFormat="1">
      <c r="A4" s="6" t="s">
        <v>448</v>
      </c>
      <c r="B4" s="6">
        <v>3</v>
      </c>
      <c r="C4" s="7" t="s">
        <v>304</v>
      </c>
      <c r="D4" s="8"/>
      <c r="E4" s="8"/>
      <c r="F4" s="7" t="s">
        <v>304</v>
      </c>
      <c r="G4" s="8"/>
      <c r="H4" s="7" t="s">
        <v>304</v>
      </c>
      <c r="I4" s="7" t="s">
        <v>304</v>
      </c>
      <c r="J4" s="8"/>
      <c r="K4" s="8"/>
      <c r="L4" s="8"/>
      <c r="M4" s="8"/>
      <c r="N4" s="7" t="s">
        <v>304</v>
      </c>
      <c r="O4" s="7" t="s">
        <v>406</v>
      </c>
      <c r="P4" s="7" t="s">
        <v>304</v>
      </c>
      <c r="Q4" s="7" t="s">
        <v>304</v>
      </c>
      <c r="R4" s="7" t="s">
        <v>304</v>
      </c>
      <c r="S4" s="8"/>
      <c r="T4" s="8"/>
      <c r="U4" s="8"/>
      <c r="V4" s="8"/>
      <c r="W4" s="7" t="s">
        <v>304</v>
      </c>
      <c r="X4" s="8"/>
      <c r="Y4" s="8"/>
      <c r="Z4" s="8"/>
      <c r="AA4" s="7" t="s">
        <v>304</v>
      </c>
      <c r="AB4" s="8"/>
      <c r="AC4" s="7" t="s">
        <v>304</v>
      </c>
      <c r="AD4" s="8"/>
      <c r="AE4" s="8"/>
      <c r="AF4" s="8"/>
      <c r="AG4" s="8"/>
      <c r="AH4" s="8"/>
      <c r="AI4" s="8"/>
      <c r="AJ4" s="8"/>
      <c r="AK4" s="7" t="s">
        <v>304</v>
      </c>
      <c r="AL4" s="8"/>
      <c r="AM4" s="8"/>
      <c r="AN4" s="7" t="s">
        <v>304</v>
      </c>
      <c r="AO4" s="8"/>
      <c r="AP4" s="8"/>
      <c r="AQ4" s="8" t="s">
        <v>449</v>
      </c>
      <c r="AR4" s="8"/>
      <c r="AS4" s="8"/>
      <c r="AT4" s="8"/>
      <c r="AU4" s="7" t="s">
        <v>304</v>
      </c>
      <c r="AV4" s="8"/>
      <c r="AW4" s="7" t="s">
        <v>406</v>
      </c>
      <c r="AX4" s="8"/>
      <c r="AY4" s="8"/>
      <c r="AZ4" s="8"/>
      <c r="BA4" s="8"/>
    </row>
    <row r="5" spans="1:53" s="10" customFormat="1">
      <c r="A5" s="6" t="s">
        <v>450</v>
      </c>
      <c r="B5" s="6">
        <v>4</v>
      </c>
      <c r="C5" s="7" t="s">
        <v>304</v>
      </c>
      <c r="D5" s="8">
        <v>30</v>
      </c>
      <c r="E5" s="8">
        <v>20</v>
      </c>
      <c r="F5" s="7" t="s">
        <v>304</v>
      </c>
      <c r="G5" s="8">
        <v>22</v>
      </c>
      <c r="H5" s="7" t="s">
        <v>304</v>
      </c>
      <c r="I5" s="7" t="s">
        <v>304</v>
      </c>
      <c r="J5" s="8">
        <v>25</v>
      </c>
      <c r="K5" s="8">
        <v>25</v>
      </c>
      <c r="L5" s="8">
        <v>60</v>
      </c>
      <c r="M5" s="8">
        <v>17.850000000000001</v>
      </c>
      <c r="N5" s="7" t="s">
        <v>304</v>
      </c>
      <c r="O5" s="7" t="s">
        <v>304</v>
      </c>
      <c r="P5" s="7" t="s">
        <v>304</v>
      </c>
      <c r="Q5" s="7" t="s">
        <v>304</v>
      </c>
      <c r="R5" s="7" t="s">
        <v>304</v>
      </c>
      <c r="S5" s="8">
        <v>5</v>
      </c>
      <c r="T5" s="8">
        <v>40</v>
      </c>
      <c r="U5" s="8">
        <v>20</v>
      </c>
      <c r="V5" s="8">
        <v>75</v>
      </c>
      <c r="W5" s="7" t="s">
        <v>304</v>
      </c>
      <c r="X5" s="8">
        <v>30</v>
      </c>
      <c r="Y5" s="8">
        <v>5</v>
      </c>
      <c r="Z5" s="8">
        <v>10</v>
      </c>
      <c r="AA5" s="7" t="s">
        <v>304</v>
      </c>
      <c r="AB5" s="8">
        <v>25</v>
      </c>
      <c r="AC5" s="7" t="s">
        <v>304</v>
      </c>
      <c r="AD5" s="8">
        <v>10</v>
      </c>
      <c r="AE5" s="8">
        <v>10</v>
      </c>
      <c r="AF5" s="8">
        <v>8</v>
      </c>
      <c r="AG5" s="8">
        <v>25</v>
      </c>
      <c r="AH5" s="8">
        <v>25</v>
      </c>
      <c r="AI5" s="8">
        <v>20</v>
      </c>
      <c r="AJ5" s="8">
        <v>15</v>
      </c>
      <c r="AK5" s="7" t="s">
        <v>304</v>
      </c>
      <c r="AL5" s="8">
        <v>20</v>
      </c>
      <c r="AM5" s="8">
        <v>55</v>
      </c>
      <c r="AN5" s="7" t="s">
        <v>304</v>
      </c>
      <c r="AO5" s="8">
        <v>15</v>
      </c>
      <c r="AP5" s="8">
        <v>30</v>
      </c>
      <c r="AQ5" s="8">
        <v>40</v>
      </c>
      <c r="AR5" s="8">
        <v>10</v>
      </c>
      <c r="AS5" s="8">
        <v>15</v>
      </c>
      <c r="AT5" s="8">
        <v>10</v>
      </c>
      <c r="AU5" s="7" t="s">
        <v>304</v>
      </c>
      <c r="AV5" s="8">
        <v>12</v>
      </c>
      <c r="AW5" s="7" t="s">
        <v>304</v>
      </c>
      <c r="AX5" s="8">
        <v>20</v>
      </c>
      <c r="AY5" s="8">
        <v>16</v>
      </c>
      <c r="AZ5" s="8">
        <v>25</v>
      </c>
      <c r="BA5" s="8">
        <v>15</v>
      </c>
    </row>
    <row r="6" spans="1:53" s="10" customFormat="1">
      <c r="A6" s="6" t="s">
        <v>451</v>
      </c>
      <c r="B6" s="6">
        <v>5</v>
      </c>
      <c r="C6" s="7" t="s">
        <v>304</v>
      </c>
      <c r="D6" s="8">
        <v>30</v>
      </c>
      <c r="E6" s="8" t="s">
        <v>304</v>
      </c>
      <c r="F6" s="7" t="s">
        <v>304</v>
      </c>
      <c r="G6" s="8">
        <v>22</v>
      </c>
      <c r="H6" s="7" t="s">
        <v>304</v>
      </c>
      <c r="I6" s="7" t="s">
        <v>304</v>
      </c>
      <c r="J6" s="8">
        <v>25</v>
      </c>
      <c r="K6" s="8" t="s">
        <v>304</v>
      </c>
      <c r="L6" s="8" t="s">
        <v>304</v>
      </c>
      <c r="M6" s="8" t="s">
        <v>304</v>
      </c>
      <c r="N6" s="7" t="s">
        <v>304</v>
      </c>
      <c r="O6" s="7" t="s">
        <v>304</v>
      </c>
      <c r="P6" s="7" t="s">
        <v>304</v>
      </c>
      <c r="Q6" s="7" t="s">
        <v>304</v>
      </c>
      <c r="R6" s="7" t="s">
        <v>304</v>
      </c>
      <c r="S6" s="8">
        <v>5</v>
      </c>
      <c r="T6" s="8">
        <v>100</v>
      </c>
      <c r="U6" s="8" t="s">
        <v>304</v>
      </c>
      <c r="V6" s="8">
        <v>75</v>
      </c>
      <c r="W6" s="7" t="s">
        <v>304</v>
      </c>
      <c r="X6" s="8">
        <v>30</v>
      </c>
      <c r="Y6" s="8">
        <v>5</v>
      </c>
      <c r="Z6" s="8" t="s">
        <v>304</v>
      </c>
      <c r="AA6" s="7" t="s">
        <v>304</v>
      </c>
      <c r="AB6" s="8" t="s">
        <v>304</v>
      </c>
      <c r="AC6" s="7" t="s">
        <v>304</v>
      </c>
      <c r="AD6" s="8" t="s">
        <v>304</v>
      </c>
      <c r="AE6" s="8">
        <v>10</v>
      </c>
      <c r="AF6" s="8" t="s">
        <v>304</v>
      </c>
      <c r="AG6" s="8">
        <v>25</v>
      </c>
      <c r="AH6" s="8">
        <v>25</v>
      </c>
      <c r="AI6" s="8" t="s">
        <v>304</v>
      </c>
      <c r="AJ6" s="8">
        <v>15</v>
      </c>
      <c r="AK6" s="7" t="s">
        <v>304</v>
      </c>
      <c r="AL6" s="8">
        <v>20</v>
      </c>
      <c r="AM6" s="8">
        <v>55</v>
      </c>
      <c r="AN6" s="7" t="s">
        <v>304</v>
      </c>
      <c r="AO6" s="8">
        <v>15</v>
      </c>
      <c r="AP6" s="8">
        <v>30</v>
      </c>
      <c r="AQ6" s="8">
        <v>100</v>
      </c>
      <c r="AR6" s="8">
        <v>10</v>
      </c>
      <c r="AS6" s="8" t="s">
        <v>304</v>
      </c>
      <c r="AT6" s="8">
        <v>10</v>
      </c>
      <c r="AU6" s="7" t="s">
        <v>304</v>
      </c>
      <c r="AV6" s="8">
        <v>12</v>
      </c>
      <c r="AW6" s="7" t="s">
        <v>304</v>
      </c>
      <c r="AX6" s="8">
        <v>20</v>
      </c>
      <c r="AY6" s="8" t="s">
        <v>304</v>
      </c>
      <c r="AZ6" s="8" t="s">
        <v>304</v>
      </c>
      <c r="BA6" s="8">
        <v>15</v>
      </c>
    </row>
    <row r="7" spans="1:53" s="10" customFormat="1">
      <c r="A7" s="6" t="s">
        <v>452</v>
      </c>
      <c r="B7" s="6">
        <v>6</v>
      </c>
      <c r="C7" s="7" t="s">
        <v>304</v>
      </c>
      <c r="D7" s="8" t="s">
        <v>304</v>
      </c>
      <c r="E7" s="8" t="s">
        <v>304</v>
      </c>
      <c r="F7" s="7" t="s">
        <v>304</v>
      </c>
      <c r="G7" s="8" t="s">
        <v>304</v>
      </c>
      <c r="H7" s="7" t="s">
        <v>304</v>
      </c>
      <c r="I7" s="7" t="s">
        <v>304</v>
      </c>
      <c r="J7" s="8" t="s">
        <v>453</v>
      </c>
      <c r="K7" s="8" t="s">
        <v>304</v>
      </c>
      <c r="L7" s="8" t="s">
        <v>304</v>
      </c>
      <c r="M7" s="8" t="s">
        <v>304</v>
      </c>
      <c r="N7" s="7" t="s">
        <v>304</v>
      </c>
      <c r="O7" s="7" t="s">
        <v>304</v>
      </c>
      <c r="P7" s="7" t="s">
        <v>304</v>
      </c>
      <c r="Q7" s="7" t="s">
        <v>304</v>
      </c>
      <c r="R7" s="7" t="s">
        <v>304</v>
      </c>
      <c r="S7" s="8" t="s">
        <v>304</v>
      </c>
      <c r="T7" s="8" t="s">
        <v>453</v>
      </c>
      <c r="U7" s="8" t="s">
        <v>453</v>
      </c>
      <c r="V7" s="8" t="s">
        <v>304</v>
      </c>
      <c r="W7" s="7" t="s">
        <v>304</v>
      </c>
      <c r="X7" s="8" t="s">
        <v>304</v>
      </c>
      <c r="Y7" s="8" t="s">
        <v>304</v>
      </c>
      <c r="Z7" s="8" t="s">
        <v>304</v>
      </c>
      <c r="AA7" s="7" t="s">
        <v>304</v>
      </c>
      <c r="AB7" s="8" t="s">
        <v>304</v>
      </c>
      <c r="AC7" s="7" t="s">
        <v>304</v>
      </c>
      <c r="AD7" s="8" t="s">
        <v>453</v>
      </c>
      <c r="AE7" s="8" t="s">
        <v>304</v>
      </c>
      <c r="AF7" s="8" t="s">
        <v>304</v>
      </c>
      <c r="AG7" s="8" t="s">
        <v>304</v>
      </c>
      <c r="AH7" s="8" t="s">
        <v>304</v>
      </c>
      <c r="AI7" s="8" t="s">
        <v>453</v>
      </c>
      <c r="AJ7" s="8" t="s">
        <v>304</v>
      </c>
      <c r="AK7" s="7" t="s">
        <v>304</v>
      </c>
      <c r="AL7" s="8" t="s">
        <v>304</v>
      </c>
      <c r="AM7" s="8" t="s">
        <v>304</v>
      </c>
      <c r="AN7" s="7" t="s">
        <v>304</v>
      </c>
      <c r="AO7" s="8" t="s">
        <v>304</v>
      </c>
      <c r="AP7" s="8" t="s">
        <v>304</v>
      </c>
      <c r="AQ7" s="8" t="s">
        <v>304</v>
      </c>
      <c r="AR7" s="8" t="s">
        <v>304</v>
      </c>
      <c r="AS7" s="8" t="s">
        <v>304</v>
      </c>
      <c r="AT7" s="8" t="s">
        <v>304</v>
      </c>
      <c r="AU7" s="7" t="s">
        <v>304</v>
      </c>
      <c r="AV7" s="8" t="s">
        <v>453</v>
      </c>
      <c r="AW7" s="7" t="s">
        <v>304</v>
      </c>
      <c r="AX7" s="8" t="s">
        <v>304</v>
      </c>
      <c r="AY7" s="8" t="s">
        <v>304</v>
      </c>
      <c r="AZ7" s="8" t="s">
        <v>304</v>
      </c>
      <c r="BA7" s="8" t="s">
        <v>304</v>
      </c>
    </row>
    <row r="8" spans="1:53" s="13" customFormat="1" hidden="1">
      <c r="A8" s="6" t="s">
        <v>454</v>
      </c>
      <c r="B8" s="6">
        <v>7</v>
      </c>
      <c r="C8" s="11" t="s">
        <v>304</v>
      </c>
      <c r="D8" s="12" t="s">
        <v>455</v>
      </c>
      <c r="E8" s="12" t="s">
        <v>456</v>
      </c>
      <c r="F8" s="11" t="s">
        <v>304</v>
      </c>
      <c r="G8" s="12" t="s">
        <v>455</v>
      </c>
      <c r="H8" s="11" t="s">
        <v>304</v>
      </c>
      <c r="I8" s="11" t="s">
        <v>304</v>
      </c>
      <c r="J8" s="12" t="s">
        <v>455</v>
      </c>
      <c r="K8" s="12" t="s">
        <v>457</v>
      </c>
      <c r="L8" s="12" t="s">
        <v>456</v>
      </c>
      <c r="M8" s="12" t="s">
        <v>457</v>
      </c>
      <c r="N8" s="11" t="s">
        <v>304</v>
      </c>
      <c r="O8" s="11" t="s">
        <v>304</v>
      </c>
      <c r="P8" s="11" t="s">
        <v>304</v>
      </c>
      <c r="Q8" s="11" t="s">
        <v>304</v>
      </c>
      <c r="R8" s="11" t="s">
        <v>304</v>
      </c>
      <c r="S8" s="12" t="s">
        <v>455</v>
      </c>
      <c r="T8" s="12" t="s">
        <v>458</v>
      </c>
      <c r="U8" s="12" t="s">
        <v>457</v>
      </c>
      <c r="V8" s="12" t="s">
        <v>455</v>
      </c>
      <c r="W8" s="11" t="s">
        <v>304</v>
      </c>
      <c r="X8" s="12" t="s">
        <v>458</v>
      </c>
      <c r="Y8" s="12" t="s">
        <v>455</v>
      </c>
      <c r="Z8" s="12" t="s">
        <v>457</v>
      </c>
      <c r="AA8" s="11" t="s">
        <v>304</v>
      </c>
      <c r="AB8" s="12" t="s">
        <v>457</v>
      </c>
      <c r="AC8" s="11" t="s">
        <v>304</v>
      </c>
      <c r="AD8" s="12" t="s">
        <v>457</v>
      </c>
      <c r="AE8" s="12" t="s">
        <v>455</v>
      </c>
      <c r="AF8" s="12" t="s">
        <v>304</v>
      </c>
      <c r="AG8" s="12" t="s">
        <v>455</v>
      </c>
      <c r="AH8" s="12" t="s">
        <v>455</v>
      </c>
      <c r="AI8" s="12" t="s">
        <v>457</v>
      </c>
      <c r="AJ8" s="12" t="s">
        <v>455</v>
      </c>
      <c r="AK8" s="11" t="s">
        <v>304</v>
      </c>
      <c r="AL8" s="12" t="s">
        <v>455</v>
      </c>
      <c r="AM8" s="12" t="s">
        <v>455</v>
      </c>
      <c r="AN8" s="11" t="s">
        <v>304</v>
      </c>
      <c r="AO8" s="12" t="s">
        <v>455</v>
      </c>
      <c r="AP8" s="12" t="s">
        <v>458</v>
      </c>
      <c r="AQ8" s="12" t="s">
        <v>457</v>
      </c>
      <c r="AR8" s="12" t="s">
        <v>458</v>
      </c>
      <c r="AS8" s="12" t="s">
        <v>457</v>
      </c>
      <c r="AT8" s="12" t="s">
        <v>455</v>
      </c>
      <c r="AU8" s="11" t="s">
        <v>304</v>
      </c>
      <c r="AV8" s="12" t="s">
        <v>455</v>
      </c>
      <c r="AW8" s="11" t="s">
        <v>304</v>
      </c>
      <c r="AX8" s="12" t="s">
        <v>455</v>
      </c>
      <c r="AY8" s="12" t="s">
        <v>456</v>
      </c>
      <c r="AZ8" s="12" t="s">
        <v>457</v>
      </c>
      <c r="BA8" s="12" t="s">
        <v>455</v>
      </c>
    </row>
    <row r="9" spans="1:53" s="13" customFormat="1">
      <c r="A9" s="6" t="s">
        <v>459</v>
      </c>
      <c r="B9" s="6">
        <v>8</v>
      </c>
      <c r="C9" s="11" t="s">
        <v>304</v>
      </c>
      <c r="D9" s="12">
        <v>1</v>
      </c>
      <c r="E9" s="12">
        <v>1</v>
      </c>
      <c r="F9" s="11" t="s">
        <v>304</v>
      </c>
      <c r="G9" s="12" t="s">
        <v>460</v>
      </c>
      <c r="H9" s="11" t="s">
        <v>304</v>
      </c>
      <c r="I9" s="11" t="s">
        <v>304</v>
      </c>
      <c r="J9" s="12">
        <v>1</v>
      </c>
      <c r="K9" s="12" t="s">
        <v>460</v>
      </c>
      <c r="L9" s="12">
        <v>2</v>
      </c>
      <c r="M9" s="12">
        <v>1</v>
      </c>
      <c r="N9" s="11" t="s">
        <v>304</v>
      </c>
      <c r="O9" s="11" t="s">
        <v>304</v>
      </c>
      <c r="P9" s="11" t="s">
        <v>304</v>
      </c>
      <c r="Q9" s="11" t="s">
        <v>304</v>
      </c>
      <c r="R9" s="11" t="s">
        <v>304</v>
      </c>
      <c r="S9" s="12">
        <v>1</v>
      </c>
      <c r="T9" s="12">
        <v>2</v>
      </c>
      <c r="U9" s="12">
        <v>1</v>
      </c>
      <c r="V9" s="12">
        <v>1</v>
      </c>
      <c r="W9" s="11" t="s">
        <v>304</v>
      </c>
      <c r="X9" s="12">
        <v>2</v>
      </c>
      <c r="Y9" s="12">
        <v>1</v>
      </c>
      <c r="Z9" s="12" t="s">
        <v>460</v>
      </c>
      <c r="AA9" s="11" t="s">
        <v>304</v>
      </c>
      <c r="AB9" s="12">
        <v>1</v>
      </c>
      <c r="AC9" s="11" t="s">
        <v>304</v>
      </c>
      <c r="AD9" s="12">
        <v>1</v>
      </c>
      <c r="AE9" s="12">
        <v>1</v>
      </c>
      <c r="AF9" s="12">
        <v>1</v>
      </c>
      <c r="AG9" s="12" t="s">
        <v>460</v>
      </c>
      <c r="AH9" s="12">
        <v>1</v>
      </c>
      <c r="AI9" s="12">
        <v>1</v>
      </c>
      <c r="AJ9" s="12">
        <v>1</v>
      </c>
      <c r="AK9" s="11" t="s">
        <v>304</v>
      </c>
      <c r="AL9" s="12">
        <v>1</v>
      </c>
      <c r="AM9" s="12">
        <v>2</v>
      </c>
      <c r="AN9" s="11" t="s">
        <v>304</v>
      </c>
      <c r="AO9" s="12">
        <v>1</v>
      </c>
      <c r="AP9" s="12">
        <v>1</v>
      </c>
      <c r="AQ9" s="12">
        <v>2</v>
      </c>
      <c r="AR9" s="12">
        <v>1</v>
      </c>
      <c r="AS9" s="12" t="s">
        <v>460</v>
      </c>
      <c r="AT9" s="12" t="s">
        <v>460</v>
      </c>
      <c r="AU9" s="11" t="s">
        <v>304</v>
      </c>
      <c r="AV9" s="12">
        <v>1</v>
      </c>
      <c r="AW9" s="11" t="s">
        <v>304</v>
      </c>
      <c r="AX9" s="12">
        <v>2</v>
      </c>
      <c r="AY9" s="12">
        <v>1</v>
      </c>
      <c r="AZ9" s="12">
        <v>1</v>
      </c>
      <c r="BA9" s="12">
        <v>1</v>
      </c>
    </row>
    <row r="10" spans="1:53" s="13" customFormat="1">
      <c r="A10" s="6" t="s">
        <v>461</v>
      </c>
      <c r="B10" s="6">
        <v>9</v>
      </c>
      <c r="C10" s="11" t="s">
        <v>304</v>
      </c>
      <c r="D10" s="12" t="s">
        <v>462</v>
      </c>
      <c r="E10" s="12" t="s">
        <v>462</v>
      </c>
      <c r="F10" s="11" t="s">
        <v>304</v>
      </c>
      <c r="G10" s="12" t="s">
        <v>453</v>
      </c>
      <c r="H10" s="11" t="s">
        <v>304</v>
      </c>
      <c r="I10" s="11" t="s">
        <v>304</v>
      </c>
      <c r="J10" s="12" t="s">
        <v>462</v>
      </c>
      <c r="K10" s="12" t="s">
        <v>462</v>
      </c>
      <c r="L10" s="12" t="s">
        <v>462</v>
      </c>
      <c r="M10" s="12" t="s">
        <v>462</v>
      </c>
      <c r="N10" s="11" t="s">
        <v>304</v>
      </c>
      <c r="O10" s="11" t="s">
        <v>304</v>
      </c>
      <c r="P10" s="11" t="s">
        <v>304</v>
      </c>
      <c r="Q10" s="11" t="s">
        <v>304</v>
      </c>
      <c r="R10" s="11" t="s">
        <v>304</v>
      </c>
      <c r="S10" s="12" t="s">
        <v>453</v>
      </c>
      <c r="T10" s="12" t="s">
        <v>462</v>
      </c>
      <c r="U10" s="12" t="s">
        <v>453</v>
      </c>
      <c r="V10" s="12" t="s">
        <v>462</v>
      </c>
      <c r="W10" s="11" t="s">
        <v>304</v>
      </c>
      <c r="X10" s="12" t="s">
        <v>462</v>
      </c>
      <c r="Y10" s="12" t="s">
        <v>462</v>
      </c>
      <c r="Z10" s="12" t="s">
        <v>462</v>
      </c>
      <c r="AA10" s="11" t="s">
        <v>304</v>
      </c>
      <c r="AB10" s="12" t="s">
        <v>462</v>
      </c>
      <c r="AC10" s="11" t="s">
        <v>304</v>
      </c>
      <c r="AD10" s="12" t="s">
        <v>462</v>
      </c>
      <c r="AE10" s="12" t="s">
        <v>462</v>
      </c>
      <c r="AF10" s="12" t="s">
        <v>304</v>
      </c>
      <c r="AG10" s="12" t="s">
        <v>462</v>
      </c>
      <c r="AH10" s="12" t="s">
        <v>453</v>
      </c>
      <c r="AI10" s="12" t="s">
        <v>462</v>
      </c>
      <c r="AJ10" s="12" t="s">
        <v>453</v>
      </c>
      <c r="AK10" s="11" t="s">
        <v>304</v>
      </c>
      <c r="AL10" s="12" t="s">
        <v>462</v>
      </c>
      <c r="AM10" s="12" t="s">
        <v>462</v>
      </c>
      <c r="AN10" s="11" t="s">
        <v>304</v>
      </c>
      <c r="AO10" s="12" t="s">
        <v>462</v>
      </c>
      <c r="AP10" s="12" t="s">
        <v>462</v>
      </c>
      <c r="AQ10" s="12" t="s">
        <v>462</v>
      </c>
      <c r="AR10" s="12" t="s">
        <v>462</v>
      </c>
      <c r="AS10" s="12" t="s">
        <v>462</v>
      </c>
      <c r="AT10" s="12" t="s">
        <v>453</v>
      </c>
      <c r="AU10" s="11" t="s">
        <v>304</v>
      </c>
      <c r="AV10" s="12" t="s">
        <v>462</v>
      </c>
      <c r="AW10" s="11" t="s">
        <v>304</v>
      </c>
      <c r="AX10" s="12" t="s">
        <v>453</v>
      </c>
      <c r="AY10" s="12" t="s">
        <v>462</v>
      </c>
      <c r="AZ10" s="12" t="s">
        <v>462</v>
      </c>
      <c r="BA10" s="12" t="s">
        <v>462</v>
      </c>
    </row>
    <row r="11" spans="1:53" s="13" customFormat="1">
      <c r="A11" s="6" t="s">
        <v>463</v>
      </c>
      <c r="B11" s="6">
        <v>10</v>
      </c>
      <c r="C11" s="11" t="s">
        <v>304</v>
      </c>
      <c r="D11" s="12"/>
      <c r="E11" s="12"/>
      <c r="F11" s="11" t="s">
        <v>304</v>
      </c>
      <c r="G11" s="12"/>
      <c r="H11" s="11" t="s">
        <v>304</v>
      </c>
      <c r="I11" s="11" t="s">
        <v>304</v>
      </c>
      <c r="J11" s="12"/>
      <c r="K11" s="12"/>
      <c r="L11" s="12">
        <v>2</v>
      </c>
      <c r="M11" s="12"/>
      <c r="N11" s="11" t="s">
        <v>304</v>
      </c>
      <c r="O11" s="11" t="s">
        <v>304</v>
      </c>
      <c r="P11" s="11" t="s">
        <v>304</v>
      </c>
      <c r="Q11" s="11" t="s">
        <v>304</v>
      </c>
      <c r="R11" s="11" t="s">
        <v>304</v>
      </c>
      <c r="S11" s="12"/>
      <c r="T11" s="12" t="s">
        <v>464</v>
      </c>
      <c r="U11" s="12"/>
      <c r="V11" s="12"/>
      <c r="W11" s="11" t="s">
        <v>304</v>
      </c>
      <c r="X11" s="12" t="s">
        <v>465</v>
      </c>
      <c r="Y11" s="12"/>
      <c r="Z11" s="12"/>
      <c r="AA11" s="11" t="s">
        <v>304</v>
      </c>
      <c r="AB11" s="12"/>
      <c r="AC11" s="11" t="s">
        <v>304</v>
      </c>
      <c r="AD11" s="12"/>
      <c r="AE11" s="12"/>
      <c r="AF11" s="12"/>
      <c r="AG11" s="12"/>
      <c r="AH11" s="12"/>
      <c r="AI11" s="12"/>
      <c r="AJ11" s="12"/>
      <c r="AK11" s="11" t="s">
        <v>304</v>
      </c>
      <c r="AL11" s="12"/>
      <c r="AM11" s="12">
        <v>2</v>
      </c>
      <c r="AN11" s="11" t="s">
        <v>304</v>
      </c>
      <c r="AO11" s="12"/>
      <c r="AP11" s="12" t="s">
        <v>466</v>
      </c>
      <c r="AQ11" s="12" t="s">
        <v>467</v>
      </c>
      <c r="AR11" s="12"/>
      <c r="AS11" s="12"/>
      <c r="AT11" s="12"/>
      <c r="AU11" s="11" t="s">
        <v>304</v>
      </c>
      <c r="AV11" s="12"/>
      <c r="AW11" s="11" t="s">
        <v>304</v>
      </c>
      <c r="AX11" s="12" t="s">
        <v>465</v>
      </c>
      <c r="AY11" s="12"/>
      <c r="AZ11" s="12"/>
      <c r="BA11" s="12"/>
    </row>
    <row r="12" spans="1:53" s="13" customFormat="1" hidden="1">
      <c r="A12" s="6" t="s">
        <v>468</v>
      </c>
      <c r="B12" s="6">
        <v>11</v>
      </c>
      <c r="C12" s="11" t="s">
        <v>304</v>
      </c>
      <c r="D12" s="12" t="s">
        <v>469</v>
      </c>
      <c r="E12" s="12" t="s">
        <v>470</v>
      </c>
      <c r="F12" s="11" t="s">
        <v>304</v>
      </c>
      <c r="G12" s="12" t="s">
        <v>304</v>
      </c>
      <c r="H12" s="11" t="s">
        <v>304</v>
      </c>
      <c r="I12" s="11" t="s">
        <v>304</v>
      </c>
      <c r="J12" s="12" t="s">
        <v>469</v>
      </c>
      <c r="K12" s="12" t="s">
        <v>304</v>
      </c>
      <c r="L12" s="12" t="s">
        <v>470</v>
      </c>
      <c r="M12" s="12" t="s">
        <v>471</v>
      </c>
      <c r="N12" s="11" t="s">
        <v>304</v>
      </c>
      <c r="O12" s="11" t="s">
        <v>304</v>
      </c>
      <c r="P12" s="11" t="s">
        <v>304</v>
      </c>
      <c r="Q12" s="11" t="s">
        <v>304</v>
      </c>
      <c r="R12" s="11" t="s">
        <v>304</v>
      </c>
      <c r="S12" s="12" t="s">
        <v>469</v>
      </c>
      <c r="T12" s="12" t="s">
        <v>472</v>
      </c>
      <c r="U12" s="12" t="s">
        <v>471</v>
      </c>
      <c r="V12" s="12" t="s">
        <v>469</v>
      </c>
      <c r="W12" s="11" t="s">
        <v>304</v>
      </c>
      <c r="X12" s="12" t="s">
        <v>472</v>
      </c>
      <c r="Y12" s="12" t="s">
        <v>469</v>
      </c>
      <c r="Z12" s="12" t="s">
        <v>304</v>
      </c>
      <c r="AA12" s="11" t="s">
        <v>304</v>
      </c>
      <c r="AB12" s="12" t="s">
        <v>471</v>
      </c>
      <c r="AC12" s="11" t="s">
        <v>304</v>
      </c>
      <c r="AD12" s="12" t="s">
        <v>471</v>
      </c>
      <c r="AE12" s="12" t="s">
        <v>469</v>
      </c>
      <c r="AF12" s="12" t="s">
        <v>304</v>
      </c>
      <c r="AG12" s="12" t="s">
        <v>304</v>
      </c>
      <c r="AH12" s="12" t="s">
        <v>469</v>
      </c>
      <c r="AI12" s="12" t="s">
        <v>471</v>
      </c>
      <c r="AJ12" s="12" t="s">
        <v>469</v>
      </c>
      <c r="AK12" s="11" t="s">
        <v>304</v>
      </c>
      <c r="AL12" s="12" t="s">
        <v>469</v>
      </c>
      <c r="AM12" s="12" t="s">
        <v>469</v>
      </c>
      <c r="AN12" s="11" t="s">
        <v>304</v>
      </c>
      <c r="AO12" s="12" t="s">
        <v>469</v>
      </c>
      <c r="AP12" s="12" t="s">
        <v>472</v>
      </c>
      <c r="AQ12" s="12" t="s">
        <v>471</v>
      </c>
      <c r="AR12" s="12" t="s">
        <v>472</v>
      </c>
      <c r="AS12" s="12" t="s">
        <v>304</v>
      </c>
      <c r="AT12" s="12" t="s">
        <v>304</v>
      </c>
      <c r="AU12" s="11" t="s">
        <v>304</v>
      </c>
      <c r="AV12" s="12" t="s">
        <v>469</v>
      </c>
      <c r="AW12" s="11" t="s">
        <v>304</v>
      </c>
      <c r="AX12" s="12" t="s">
        <v>469</v>
      </c>
      <c r="AY12" s="12" t="s">
        <v>470</v>
      </c>
      <c r="AZ12" s="12" t="s">
        <v>471</v>
      </c>
      <c r="BA12" s="12" t="s">
        <v>469</v>
      </c>
    </row>
    <row r="13" spans="1:53" s="16" customFormat="1">
      <c r="A13" s="6" t="s">
        <v>473</v>
      </c>
      <c r="B13" s="6">
        <v>12</v>
      </c>
      <c r="C13" s="14"/>
      <c r="D13" s="15" t="s">
        <v>474</v>
      </c>
      <c r="E13" s="15" t="s">
        <v>475</v>
      </c>
      <c r="F13" s="14"/>
      <c r="G13" s="15" t="s">
        <v>476</v>
      </c>
      <c r="H13" s="14"/>
      <c r="I13" s="14"/>
      <c r="J13" s="15" t="s">
        <v>477</v>
      </c>
      <c r="K13" s="15" t="s">
        <v>478</v>
      </c>
      <c r="L13" s="15" t="s">
        <v>479</v>
      </c>
      <c r="M13" s="15"/>
      <c r="N13" s="14"/>
      <c r="O13" s="14"/>
      <c r="P13" s="14"/>
      <c r="Q13" s="14"/>
      <c r="R13" s="14"/>
      <c r="S13" s="15"/>
      <c r="T13" s="15"/>
      <c r="U13" s="15"/>
      <c r="V13" s="15"/>
      <c r="W13" s="14"/>
      <c r="X13" s="15"/>
      <c r="Y13" s="15"/>
      <c r="Z13" s="15"/>
      <c r="AA13" s="14"/>
      <c r="AB13" s="15"/>
      <c r="AC13" s="14"/>
      <c r="AD13" s="15"/>
      <c r="AE13" s="15"/>
      <c r="AF13" s="15"/>
      <c r="AG13" s="15"/>
      <c r="AH13" s="15"/>
      <c r="AI13" s="15"/>
      <c r="AJ13" s="15"/>
      <c r="AK13" s="14"/>
      <c r="AL13" s="15"/>
      <c r="AM13" s="15" t="s">
        <v>480</v>
      </c>
      <c r="AN13" s="14"/>
      <c r="AO13" s="15"/>
      <c r="AP13" s="15"/>
      <c r="AQ13" s="15"/>
      <c r="AR13" s="15"/>
      <c r="AS13" s="15"/>
      <c r="AT13" s="15"/>
      <c r="AU13" s="14"/>
      <c r="AV13" s="15"/>
      <c r="AW13" s="14"/>
      <c r="AX13" s="15"/>
      <c r="AY13" s="15"/>
      <c r="AZ13" s="15"/>
      <c r="BA13" s="15"/>
    </row>
    <row r="14" spans="1:53" s="10" customFormat="1" hidden="1">
      <c r="A14" s="6"/>
      <c r="B14" s="6">
        <v>13</v>
      </c>
      <c r="C14" s="7"/>
      <c r="D14" s="8"/>
      <c r="E14" s="8"/>
      <c r="F14" s="7"/>
      <c r="G14" s="8"/>
      <c r="H14" s="7"/>
      <c r="I14" s="7"/>
      <c r="J14" s="8"/>
      <c r="K14" s="8"/>
      <c r="L14" s="8"/>
      <c r="M14" s="8"/>
      <c r="N14" s="7"/>
      <c r="O14" s="7"/>
      <c r="P14" s="7"/>
      <c r="Q14" s="7"/>
      <c r="R14" s="7"/>
      <c r="S14" s="8"/>
      <c r="T14" s="8"/>
      <c r="U14" s="8"/>
      <c r="V14" s="8"/>
      <c r="W14" s="7"/>
      <c r="X14" s="8"/>
      <c r="Y14" s="8"/>
      <c r="Z14" s="8"/>
      <c r="AA14" s="7"/>
      <c r="AB14" s="8"/>
      <c r="AC14" s="7"/>
      <c r="AD14" s="8"/>
      <c r="AE14" s="8"/>
      <c r="AF14" s="8"/>
      <c r="AG14" s="8"/>
      <c r="AH14" s="8"/>
      <c r="AI14" s="8"/>
      <c r="AJ14" s="8"/>
      <c r="AK14" s="7"/>
      <c r="AL14" s="8"/>
      <c r="AM14" s="8"/>
      <c r="AN14" s="7"/>
      <c r="AO14" s="8"/>
      <c r="AP14" s="8"/>
      <c r="AQ14" s="8"/>
      <c r="AR14" s="8"/>
      <c r="AS14" s="8"/>
      <c r="AT14" s="8"/>
      <c r="AU14" s="7"/>
      <c r="AV14" s="8"/>
      <c r="AW14" s="7"/>
      <c r="AX14" s="8"/>
      <c r="AY14" s="8"/>
      <c r="AZ14" s="8"/>
      <c r="BA14" s="8"/>
    </row>
    <row r="15" spans="1:53" s="10" customFormat="1">
      <c r="A15" s="6" t="s">
        <v>481</v>
      </c>
      <c r="B15" s="6">
        <v>14</v>
      </c>
      <c r="C15" s="7" t="s">
        <v>304</v>
      </c>
      <c r="D15" s="8" t="s">
        <v>304</v>
      </c>
      <c r="E15" s="8">
        <v>60</v>
      </c>
      <c r="F15" s="7" t="s">
        <v>304</v>
      </c>
      <c r="G15" s="8" t="s">
        <v>304</v>
      </c>
      <c r="H15" s="7" t="s">
        <v>304</v>
      </c>
      <c r="I15" s="7" t="s">
        <v>304</v>
      </c>
      <c r="J15" s="8" t="s">
        <v>304</v>
      </c>
      <c r="K15" s="8" t="s">
        <v>304</v>
      </c>
      <c r="L15" s="8" t="s">
        <v>304</v>
      </c>
      <c r="M15" s="8" t="s">
        <v>304</v>
      </c>
      <c r="N15" s="7" t="s">
        <v>304</v>
      </c>
      <c r="O15" s="7" t="s">
        <v>304</v>
      </c>
      <c r="P15" s="7" t="s">
        <v>304</v>
      </c>
      <c r="Q15" s="7" t="s">
        <v>304</v>
      </c>
      <c r="R15" s="7" t="s">
        <v>304</v>
      </c>
      <c r="S15" s="8" t="s">
        <v>304</v>
      </c>
      <c r="T15" s="8">
        <v>50</v>
      </c>
      <c r="U15" s="8" t="s">
        <v>304</v>
      </c>
      <c r="V15" s="8" t="s">
        <v>304</v>
      </c>
      <c r="W15" s="7" t="s">
        <v>304</v>
      </c>
      <c r="X15" s="8">
        <v>70</v>
      </c>
      <c r="Y15" s="8" t="s">
        <v>304</v>
      </c>
      <c r="Z15" s="8" t="s">
        <v>304</v>
      </c>
      <c r="AA15" s="7" t="s">
        <v>304</v>
      </c>
      <c r="AB15" s="8" t="s">
        <v>304</v>
      </c>
      <c r="AC15" s="7" t="s">
        <v>304</v>
      </c>
      <c r="AD15" s="8" t="s">
        <v>304</v>
      </c>
      <c r="AE15" s="8" t="s">
        <v>304</v>
      </c>
      <c r="AF15" s="8" t="s">
        <v>304</v>
      </c>
      <c r="AG15" s="8" t="s">
        <v>304</v>
      </c>
      <c r="AH15" s="8" t="s">
        <v>304</v>
      </c>
      <c r="AI15" s="8" t="s">
        <v>304</v>
      </c>
      <c r="AJ15" s="8" t="s">
        <v>304</v>
      </c>
      <c r="AK15" s="7" t="s">
        <v>304</v>
      </c>
      <c r="AL15" s="8" t="s">
        <v>304</v>
      </c>
      <c r="AM15" s="8" t="s">
        <v>304</v>
      </c>
      <c r="AN15" s="7" t="s">
        <v>304</v>
      </c>
      <c r="AO15" s="8" t="s">
        <v>304</v>
      </c>
      <c r="AP15" s="8">
        <v>30</v>
      </c>
      <c r="AQ15" s="8" t="s">
        <v>304</v>
      </c>
      <c r="AR15" s="8">
        <v>20</v>
      </c>
      <c r="AS15" s="8" t="s">
        <v>304</v>
      </c>
      <c r="AT15" s="8" t="s">
        <v>304</v>
      </c>
      <c r="AU15" s="7" t="s">
        <v>304</v>
      </c>
      <c r="AV15" s="8" t="s">
        <v>304</v>
      </c>
      <c r="AW15" s="7" t="s">
        <v>304</v>
      </c>
      <c r="AX15" s="8" t="s">
        <v>304</v>
      </c>
      <c r="AY15" s="8">
        <v>50</v>
      </c>
      <c r="AZ15" s="8" t="s">
        <v>304</v>
      </c>
      <c r="BA15" s="8" t="s">
        <v>304</v>
      </c>
    </row>
    <row r="16" spans="1:53" s="10" customFormat="1">
      <c r="A16" s="6" t="s">
        <v>482</v>
      </c>
      <c r="B16" s="6">
        <v>15</v>
      </c>
      <c r="C16" s="7" t="s">
        <v>304</v>
      </c>
      <c r="D16" s="8" t="s">
        <v>304</v>
      </c>
      <c r="E16" s="8" t="s">
        <v>304</v>
      </c>
      <c r="F16" s="7" t="s">
        <v>304</v>
      </c>
      <c r="G16" s="8" t="s">
        <v>304</v>
      </c>
      <c r="H16" s="7" t="s">
        <v>304</v>
      </c>
      <c r="I16" s="7" t="s">
        <v>304</v>
      </c>
      <c r="J16" s="8" t="s">
        <v>304</v>
      </c>
      <c r="K16" s="8" t="s">
        <v>304</v>
      </c>
      <c r="L16" s="8" t="s">
        <v>304</v>
      </c>
      <c r="M16" s="8" t="s">
        <v>304</v>
      </c>
      <c r="N16" s="7" t="s">
        <v>304</v>
      </c>
      <c r="O16" s="7" t="s">
        <v>304</v>
      </c>
      <c r="P16" s="7" t="s">
        <v>304</v>
      </c>
      <c r="Q16" s="7" t="s">
        <v>304</v>
      </c>
      <c r="R16" s="7" t="s">
        <v>304</v>
      </c>
      <c r="S16" s="8" t="s">
        <v>304</v>
      </c>
      <c r="T16" s="8">
        <v>120</v>
      </c>
      <c r="U16" s="8" t="s">
        <v>304</v>
      </c>
      <c r="V16" s="8" t="s">
        <v>304</v>
      </c>
      <c r="W16" s="7" t="s">
        <v>304</v>
      </c>
      <c r="X16" s="8">
        <v>70</v>
      </c>
      <c r="Y16" s="8" t="s">
        <v>304</v>
      </c>
      <c r="Z16" s="8" t="s">
        <v>304</v>
      </c>
      <c r="AA16" s="7" t="s">
        <v>304</v>
      </c>
      <c r="AB16" s="8" t="s">
        <v>304</v>
      </c>
      <c r="AC16" s="7" t="s">
        <v>304</v>
      </c>
      <c r="AD16" s="8" t="s">
        <v>304</v>
      </c>
      <c r="AE16" s="8" t="s">
        <v>304</v>
      </c>
      <c r="AF16" s="8" t="s">
        <v>304</v>
      </c>
      <c r="AG16" s="8" t="s">
        <v>304</v>
      </c>
      <c r="AH16" s="8" t="s">
        <v>304</v>
      </c>
      <c r="AI16" s="8" t="s">
        <v>304</v>
      </c>
      <c r="AJ16" s="8" t="s">
        <v>304</v>
      </c>
      <c r="AK16" s="7" t="s">
        <v>304</v>
      </c>
      <c r="AL16" s="8" t="s">
        <v>304</v>
      </c>
      <c r="AM16" s="8" t="s">
        <v>304</v>
      </c>
      <c r="AN16" s="7" t="s">
        <v>304</v>
      </c>
      <c r="AO16" s="8" t="s">
        <v>304</v>
      </c>
      <c r="AP16" s="8">
        <v>0</v>
      </c>
      <c r="AQ16" s="8" t="s">
        <v>304</v>
      </c>
      <c r="AR16" s="8">
        <v>20</v>
      </c>
      <c r="AS16" s="8" t="s">
        <v>304</v>
      </c>
      <c r="AT16" s="8" t="s">
        <v>304</v>
      </c>
      <c r="AU16" s="7" t="s">
        <v>304</v>
      </c>
      <c r="AV16" s="8" t="s">
        <v>304</v>
      </c>
      <c r="AW16" s="7" t="s">
        <v>304</v>
      </c>
      <c r="AX16" s="8" t="s">
        <v>304</v>
      </c>
      <c r="AY16" s="8" t="s">
        <v>304</v>
      </c>
      <c r="AZ16" s="8" t="s">
        <v>304</v>
      </c>
      <c r="BA16" s="8" t="s">
        <v>304</v>
      </c>
    </row>
    <row r="17" spans="1:53" s="13" customFormat="1" hidden="1">
      <c r="A17" s="6" t="s">
        <v>483</v>
      </c>
      <c r="B17" s="6">
        <v>16</v>
      </c>
      <c r="C17" s="11" t="s">
        <v>304</v>
      </c>
      <c r="D17" s="12" t="s">
        <v>304</v>
      </c>
      <c r="E17" s="12" t="s">
        <v>484</v>
      </c>
      <c r="F17" s="11" t="s">
        <v>304</v>
      </c>
      <c r="G17" s="12" t="s">
        <v>304</v>
      </c>
      <c r="H17" s="11" t="s">
        <v>304</v>
      </c>
      <c r="I17" s="11" t="s">
        <v>304</v>
      </c>
      <c r="J17" s="12" t="s">
        <v>304</v>
      </c>
      <c r="K17" s="12" t="s">
        <v>304</v>
      </c>
      <c r="L17" s="12" t="s">
        <v>484</v>
      </c>
      <c r="M17" s="12" t="s">
        <v>304</v>
      </c>
      <c r="N17" s="11" t="s">
        <v>304</v>
      </c>
      <c r="O17" s="11" t="s">
        <v>304</v>
      </c>
      <c r="P17" s="11" t="s">
        <v>304</v>
      </c>
      <c r="Q17" s="11" t="s">
        <v>304</v>
      </c>
      <c r="R17" s="11" t="s">
        <v>304</v>
      </c>
      <c r="S17" s="12" t="s">
        <v>304</v>
      </c>
      <c r="T17" s="12" t="s">
        <v>485</v>
      </c>
      <c r="U17" s="12" t="s">
        <v>304</v>
      </c>
      <c r="V17" s="12" t="s">
        <v>304</v>
      </c>
      <c r="W17" s="11" t="s">
        <v>304</v>
      </c>
      <c r="X17" s="12" t="s">
        <v>485</v>
      </c>
      <c r="Y17" s="12" t="s">
        <v>304</v>
      </c>
      <c r="Z17" s="12" t="s">
        <v>304</v>
      </c>
      <c r="AA17" s="11" t="s">
        <v>304</v>
      </c>
      <c r="AB17" s="12" t="s">
        <v>304</v>
      </c>
      <c r="AC17" s="11" t="s">
        <v>304</v>
      </c>
      <c r="AD17" s="12" t="s">
        <v>304</v>
      </c>
      <c r="AE17" s="12" t="s">
        <v>304</v>
      </c>
      <c r="AF17" s="12" t="s">
        <v>304</v>
      </c>
      <c r="AG17" s="12" t="s">
        <v>304</v>
      </c>
      <c r="AH17" s="12" t="s">
        <v>304</v>
      </c>
      <c r="AI17" s="12" t="s">
        <v>304</v>
      </c>
      <c r="AJ17" s="12" t="s">
        <v>304</v>
      </c>
      <c r="AK17" s="11" t="s">
        <v>304</v>
      </c>
      <c r="AL17" s="12" t="s">
        <v>304</v>
      </c>
      <c r="AM17" s="12" t="s">
        <v>304</v>
      </c>
      <c r="AN17" s="11" t="s">
        <v>304</v>
      </c>
      <c r="AO17" s="12" t="s">
        <v>304</v>
      </c>
      <c r="AP17" s="12" t="s">
        <v>484</v>
      </c>
      <c r="AQ17" s="12" t="s">
        <v>304</v>
      </c>
      <c r="AR17" s="12" t="s">
        <v>485</v>
      </c>
      <c r="AS17" s="12" t="s">
        <v>304</v>
      </c>
      <c r="AT17" s="12" t="s">
        <v>304</v>
      </c>
      <c r="AU17" s="11" t="s">
        <v>304</v>
      </c>
      <c r="AV17" s="12" t="s">
        <v>304</v>
      </c>
      <c r="AW17" s="11" t="s">
        <v>304</v>
      </c>
      <c r="AX17" s="12" t="s">
        <v>304</v>
      </c>
      <c r="AY17" s="12" t="s">
        <v>484</v>
      </c>
      <c r="AZ17" s="12" t="s">
        <v>304</v>
      </c>
      <c r="BA17" s="12" t="s">
        <v>304</v>
      </c>
    </row>
    <row r="18" spans="1:53" s="13" customFormat="1" hidden="1">
      <c r="A18" s="6" t="s">
        <v>486</v>
      </c>
      <c r="B18" s="6">
        <v>17</v>
      </c>
      <c r="C18" s="11" t="s">
        <v>304</v>
      </c>
      <c r="D18" s="12" t="s">
        <v>304</v>
      </c>
      <c r="E18" s="12" t="s">
        <v>487</v>
      </c>
      <c r="F18" s="11" t="s">
        <v>304</v>
      </c>
      <c r="G18" s="12" t="s">
        <v>304</v>
      </c>
      <c r="H18" s="11" t="s">
        <v>304</v>
      </c>
      <c r="I18" s="11" t="s">
        <v>304</v>
      </c>
      <c r="J18" s="12" t="s">
        <v>304</v>
      </c>
      <c r="K18" s="12" t="s">
        <v>304</v>
      </c>
      <c r="L18" s="12" t="s">
        <v>487</v>
      </c>
      <c r="M18" s="12" t="s">
        <v>304</v>
      </c>
      <c r="N18" s="11" t="s">
        <v>304</v>
      </c>
      <c r="O18" s="11" t="s">
        <v>304</v>
      </c>
      <c r="P18" s="11" t="s">
        <v>304</v>
      </c>
      <c r="Q18" s="11" t="s">
        <v>304</v>
      </c>
      <c r="R18" s="11" t="s">
        <v>304</v>
      </c>
      <c r="S18" s="12" t="s">
        <v>304</v>
      </c>
      <c r="T18" s="12" t="s">
        <v>488</v>
      </c>
      <c r="U18" s="12" t="s">
        <v>304</v>
      </c>
      <c r="V18" s="12" t="s">
        <v>304</v>
      </c>
      <c r="W18" s="11" t="s">
        <v>304</v>
      </c>
      <c r="X18" s="12" t="s">
        <v>488</v>
      </c>
      <c r="Y18" s="12" t="s">
        <v>304</v>
      </c>
      <c r="Z18" s="12" t="s">
        <v>304</v>
      </c>
      <c r="AA18" s="11" t="s">
        <v>304</v>
      </c>
      <c r="AB18" s="12" t="s">
        <v>304</v>
      </c>
      <c r="AC18" s="11" t="s">
        <v>304</v>
      </c>
      <c r="AD18" s="12" t="s">
        <v>304</v>
      </c>
      <c r="AE18" s="12" t="s">
        <v>304</v>
      </c>
      <c r="AF18" s="12" t="s">
        <v>304</v>
      </c>
      <c r="AG18" s="12" t="s">
        <v>304</v>
      </c>
      <c r="AH18" s="12" t="s">
        <v>304</v>
      </c>
      <c r="AI18" s="12" t="s">
        <v>304</v>
      </c>
      <c r="AJ18" s="12" t="s">
        <v>304</v>
      </c>
      <c r="AK18" s="11" t="s">
        <v>304</v>
      </c>
      <c r="AL18" s="12" t="s">
        <v>304</v>
      </c>
      <c r="AM18" s="12" t="s">
        <v>304</v>
      </c>
      <c r="AN18" s="11" t="s">
        <v>304</v>
      </c>
      <c r="AO18" s="12" t="s">
        <v>304</v>
      </c>
      <c r="AP18" s="12" t="s">
        <v>487</v>
      </c>
      <c r="AQ18" s="12" t="s">
        <v>304</v>
      </c>
      <c r="AR18" s="12" t="s">
        <v>488</v>
      </c>
      <c r="AS18" s="12" t="s">
        <v>304</v>
      </c>
      <c r="AT18" s="12" t="s">
        <v>304</v>
      </c>
      <c r="AU18" s="11" t="s">
        <v>304</v>
      </c>
      <c r="AV18" s="12" t="s">
        <v>304</v>
      </c>
      <c r="AW18" s="11" t="s">
        <v>304</v>
      </c>
      <c r="AX18" s="12" t="s">
        <v>304</v>
      </c>
      <c r="AY18" s="12" t="s">
        <v>487</v>
      </c>
      <c r="AZ18" s="12" t="s">
        <v>304</v>
      </c>
      <c r="BA18" s="12" t="s">
        <v>304</v>
      </c>
    </row>
    <row r="19" spans="1:53" s="10" customFormat="1">
      <c r="A19" s="6" t="s">
        <v>489</v>
      </c>
      <c r="B19" s="6">
        <v>18</v>
      </c>
      <c r="C19" s="7" t="s">
        <v>304</v>
      </c>
      <c r="D19" s="8" t="s">
        <v>304</v>
      </c>
      <c r="E19" s="8">
        <v>10</v>
      </c>
      <c r="F19" s="7" t="s">
        <v>304</v>
      </c>
      <c r="G19" s="8">
        <v>22</v>
      </c>
      <c r="H19" s="7" t="s">
        <v>304</v>
      </c>
      <c r="I19" s="7" t="s">
        <v>304</v>
      </c>
      <c r="J19" s="8" t="s">
        <v>304</v>
      </c>
      <c r="K19" s="8" t="s">
        <v>304</v>
      </c>
      <c r="L19" s="8" t="s">
        <v>304</v>
      </c>
      <c r="M19" s="8" t="s">
        <v>304</v>
      </c>
      <c r="N19" s="7" t="s">
        <v>304</v>
      </c>
      <c r="O19" s="7" t="s">
        <v>304</v>
      </c>
      <c r="P19" s="7" t="s">
        <v>304</v>
      </c>
      <c r="Q19" s="7" t="s">
        <v>304</v>
      </c>
      <c r="R19" s="7" t="s">
        <v>304</v>
      </c>
      <c r="S19" s="8" t="s">
        <v>304</v>
      </c>
      <c r="T19" s="8" t="s">
        <v>304</v>
      </c>
      <c r="U19" s="8" t="s">
        <v>304</v>
      </c>
      <c r="V19" s="8" t="s">
        <v>304</v>
      </c>
      <c r="W19" s="7" t="s">
        <v>304</v>
      </c>
      <c r="X19" s="8" t="s">
        <v>304</v>
      </c>
      <c r="Y19" s="8" t="s">
        <v>304</v>
      </c>
      <c r="Z19" s="8" t="s">
        <v>304</v>
      </c>
      <c r="AA19" s="7" t="s">
        <v>304</v>
      </c>
      <c r="AB19" s="8" t="s">
        <v>304</v>
      </c>
      <c r="AC19" s="7" t="s">
        <v>304</v>
      </c>
      <c r="AD19" s="8">
        <v>10</v>
      </c>
      <c r="AE19" s="8" t="s">
        <v>304</v>
      </c>
      <c r="AF19" s="8">
        <v>3</v>
      </c>
      <c r="AG19" s="8">
        <v>25</v>
      </c>
      <c r="AH19" s="8">
        <v>25</v>
      </c>
      <c r="AI19" s="8" t="s">
        <v>304</v>
      </c>
      <c r="AJ19" s="8" t="s">
        <v>304</v>
      </c>
      <c r="AK19" s="7" t="s">
        <v>304</v>
      </c>
      <c r="AL19" s="8">
        <v>5</v>
      </c>
      <c r="AM19" s="8" t="s">
        <v>304</v>
      </c>
      <c r="AN19" s="7" t="s">
        <v>304</v>
      </c>
      <c r="AO19" s="8" t="s">
        <v>304</v>
      </c>
      <c r="AP19" s="8" t="s">
        <v>304</v>
      </c>
      <c r="AQ19" s="8" t="s">
        <v>304</v>
      </c>
      <c r="AR19" s="8" t="s">
        <v>304</v>
      </c>
      <c r="AS19" s="8">
        <v>15</v>
      </c>
      <c r="AT19" s="8" t="s">
        <v>304</v>
      </c>
      <c r="AU19" s="7" t="s">
        <v>304</v>
      </c>
      <c r="AV19" s="8" t="s">
        <v>304</v>
      </c>
      <c r="AW19" s="7" t="s">
        <v>304</v>
      </c>
      <c r="AX19" s="8" t="s">
        <v>304</v>
      </c>
      <c r="AY19" s="8" t="s">
        <v>304</v>
      </c>
      <c r="AZ19" s="8" t="s">
        <v>304</v>
      </c>
      <c r="BA19" s="8">
        <v>15</v>
      </c>
    </row>
    <row r="22" spans="1:53">
      <c r="A22" t="s">
        <v>455</v>
      </c>
      <c r="C22" s="17" t="s">
        <v>490</v>
      </c>
    </row>
    <row r="23" spans="1:53">
      <c r="A23" t="s">
        <v>469</v>
      </c>
      <c r="C23" s="17" t="s">
        <v>491</v>
      </c>
    </row>
    <row r="24" spans="1:53">
      <c r="A24" t="s">
        <v>456</v>
      </c>
      <c r="C24" s="17" t="s">
        <v>492</v>
      </c>
    </row>
    <row r="25" spans="1:53">
      <c r="A25" t="s">
        <v>470</v>
      </c>
      <c r="C25" s="17" t="s">
        <v>493</v>
      </c>
    </row>
    <row r="26" spans="1:53">
      <c r="A26" t="s">
        <v>484</v>
      </c>
      <c r="C26" s="17" t="s">
        <v>494</v>
      </c>
    </row>
    <row r="27" spans="1:53">
      <c r="A27" t="s">
        <v>487</v>
      </c>
      <c r="C27" s="17" t="s">
        <v>495</v>
      </c>
    </row>
    <row r="28" spans="1:53">
      <c r="A28" t="s">
        <v>457</v>
      </c>
      <c r="C28" s="17" t="s">
        <v>496</v>
      </c>
    </row>
    <row r="29" spans="1:53">
      <c r="A29" t="s">
        <v>471</v>
      </c>
      <c r="C29" s="17" t="s">
        <v>497</v>
      </c>
    </row>
    <row r="30" spans="1:53">
      <c r="A30" t="s">
        <v>458</v>
      </c>
      <c r="C30" s="17" t="s">
        <v>498</v>
      </c>
    </row>
    <row r="31" spans="1:53">
      <c r="A31" t="s">
        <v>472</v>
      </c>
      <c r="C31" s="17" t="s">
        <v>499</v>
      </c>
    </row>
    <row r="32" spans="1:53">
      <c r="A32" t="s">
        <v>485</v>
      </c>
      <c r="C32" s="17" t="s">
        <v>500</v>
      </c>
    </row>
    <row r="33" spans="1:3">
      <c r="A33" t="s">
        <v>488</v>
      </c>
      <c r="C33" s="17" t="s">
        <v>501</v>
      </c>
    </row>
    <row r="34" spans="1:3">
      <c r="A34" t="s">
        <v>502</v>
      </c>
      <c r="C34" s="17" t="s">
        <v>503</v>
      </c>
    </row>
    <row r="35" spans="1:3" s="18" customFormat="1">
      <c r="A35" s="18" t="s">
        <v>504</v>
      </c>
      <c r="C35" s="19"/>
    </row>
    <row r="36" spans="1:3">
      <c r="A36" t="s">
        <v>465</v>
      </c>
      <c r="C36" s="17" t="s">
        <v>505</v>
      </c>
    </row>
    <row r="37" spans="1:3">
      <c r="A37" t="s">
        <v>464</v>
      </c>
      <c r="C37" s="17" t="s">
        <v>506</v>
      </c>
    </row>
    <row r="38" spans="1:3">
      <c r="A38" t="s">
        <v>466</v>
      </c>
      <c r="C38" s="17" t="s">
        <v>507</v>
      </c>
    </row>
    <row r="39" spans="1:3">
      <c r="A39" s="1" t="s">
        <v>508</v>
      </c>
      <c r="B39" s="1"/>
      <c r="C39" s="17" t="s">
        <v>509</v>
      </c>
    </row>
    <row r="40" spans="1:3">
      <c r="A40" s="1" t="s">
        <v>510</v>
      </c>
      <c r="B40" s="1"/>
      <c r="C40" s="17" t="s">
        <v>511</v>
      </c>
    </row>
    <row r="41" spans="1:3">
      <c r="A41" t="s">
        <v>460</v>
      </c>
      <c r="C41" s="17" t="s">
        <v>512</v>
      </c>
    </row>
    <row r="42" spans="1:3">
      <c r="A42" s="18" t="s">
        <v>513</v>
      </c>
    </row>
    <row r="43" spans="1:3">
      <c r="A43" t="s">
        <v>304</v>
      </c>
      <c r="C43" s="17" t="s">
        <v>448</v>
      </c>
    </row>
    <row r="44" spans="1:3">
      <c r="A44" t="s">
        <v>449</v>
      </c>
      <c r="C44" s="17" t="s">
        <v>514</v>
      </c>
    </row>
    <row r="45" spans="1:3">
      <c r="C45" s="17"/>
    </row>
    <row r="48" spans="1:3">
      <c r="C48" t="s">
        <v>515</v>
      </c>
    </row>
    <row r="49" spans="3:3">
      <c r="C49" t="s">
        <v>516</v>
      </c>
    </row>
    <row r="50" spans="3:3">
      <c r="C50" t="s">
        <v>517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D 0 O 2 W D 7 K 3 O i k A A A A 9 g A A A B I A H A B D b 2 5 m a W c v U G F j a 2 F n Z S 5 4 b W w g o h g A K K A U A A A A A A A A A A A A A A A A A A A A A A A A A A A A h Y 9 B D o I w F E S v Q r q n L T U m h H z K w q 0 k J k T j t o G K j f A x t F j u 5 s I j e Q U x i r p z O W / e Y u Z + v U E 2 t k 1 w 0 b 0 1 H a Y k o p w E G s u u M l i n Z H C H M C a Z h I 0 q T 6 r W w S S j T U Z b p e T o 3 D l h z H t P / Y J 2 f c 0 E 5 x H b 5 + u i P O p W k Y 9 s / s u h Q e s U l p p I 2 L 3 G S E E j E V O x F J Q D m y H k B r + C m P Y + 2 x 8 I q 6 F x Q 6 + l x n B b A J s j s P c H + Q B Q S w M E F A A C A A g A D 0 O 2 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9 D t l g o i k e 4 D g A A A B E A A A A T A B w A R m 9 y b X V s Y X M v U 2 V j d G l v b j E u b S C i G A A o o B Q A A A A A A A A A A A A A A A A A A A A A A A A A A A A r T k 0 u y c z P U w i G 0 I b W A F B L A Q I t A B Q A A g A I A A 9 D t l g + y t z o p A A A A P Y A A A A S A A A A A A A A A A A A A A A A A A A A A A B D b 2 5 m a W c v U G F j a 2 F n Z S 5 4 b W x Q S w E C L Q A U A A I A C A A P Q 7 Z Y D 8 r p q 6 Q A A A D p A A A A E w A A A A A A A A A A A A A A A A D w A A A A W 0 N v b n R l b n R f V H l w Z X N d L n h t b F B L A Q I t A B Q A A g A I A A 9 D t l 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D S U s b E E h T S K c i I R e B 4 a r S A A A A A A I A A A A A A B B m A A A A A Q A A I A A A A H R w Z + + l n y 7 8 8 y w m g s M p F p l C 6 + i M Y y 5 9 k f J 0 L 9 w e 9 j G C A A A A A A 6 A A A A A A g A A I A A A A M f R T s A h h Y 3 f R R q z p r O n t 6 h p 6 i w 2 S W b a i 3 A B f e y U 4 2 2 M U A A A A F W a T N W U y g 3 Z O 5 i E U y h z p G T G M l N j V 0 U j 5 P s h X O / 5 f 9 H H j C U T U z I M L 9 I h 2 F o e l b 8 0 i b c w r 2 / G E X Y a H g Q X Y 2 v C C l 9 s q D D E W u z W c K A U a X N v Y a L J Q A A A A F Z y o q w N v B E O d M j c r Z D F 5 5 8 5 / S v N F Q B 9 i / 9 e s g G t T 6 5 Q y e q a 2 p a A u G i k 6 8 f 2 W E j M W K R A C p m I Z I K C n L x j I M A I Z Y w = < / 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3c9e15a3-223f-4584-afb1-1dbe0b3878fa" xsi:nil="true"/>
    <lcf76f155ced4ddcb4097134ff3c332f xmlns="0c0a90e6-e41b-4ab7-99c8-c94455793e26">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531A8C69AB2D548A863655BB1040AAC" ma:contentTypeVersion="17" ma:contentTypeDescription="Create a new document." ma:contentTypeScope="" ma:versionID="5030ed41115def4408b1c8f2b33c4061">
  <xsd:schema xmlns:xsd="http://www.w3.org/2001/XMLSchema" xmlns:xs="http://www.w3.org/2001/XMLSchema" xmlns:p="http://schemas.microsoft.com/office/2006/metadata/properties" xmlns:ns2="0c0a90e6-e41b-4ab7-99c8-c94455793e26" xmlns:ns3="f933e4e2-b1ab-4be3-bd5b-27fe7816f9f4" xmlns:ns4="3c9e15a3-223f-4584-afb1-1dbe0b3878fa" targetNamespace="http://schemas.microsoft.com/office/2006/metadata/properties" ma:root="true" ma:fieldsID="3b1d46a792cb389550ceb7a31490aad7" ns2:_="" ns3:_="" ns4:_="">
    <xsd:import namespace="0c0a90e6-e41b-4ab7-99c8-c94455793e26"/>
    <xsd:import namespace="f933e4e2-b1ab-4be3-bd5b-27fe7816f9f4"/>
    <xsd:import namespace="3c9e15a3-223f-4584-afb1-1dbe0b3878f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0a90e6-e41b-4ab7-99c8-c94455793e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28e0220-fee2-4e32-9192-0559fdf47d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33e4e2-b1ab-4be3-bd5b-27fe7816f9f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9e15a3-223f-4584-afb1-1dbe0b3878fa"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38fc2d7-2be3-4382-b2d4-b09d266d4874}" ma:internalName="TaxCatchAll" ma:showField="CatchAllData" ma:web="f933e4e2-b1ab-4be3-bd5b-27fe7816f9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F43B54-7ED7-43FE-9331-37F20F74058A}">
  <ds:schemaRefs>
    <ds:schemaRef ds:uri="http://schemas.microsoft.com/sharepoint/v3/contenttype/forms"/>
  </ds:schemaRefs>
</ds:datastoreItem>
</file>

<file path=customXml/itemProps2.xml><?xml version="1.0" encoding="utf-8"?>
<ds:datastoreItem xmlns:ds="http://schemas.openxmlformats.org/officeDocument/2006/customXml" ds:itemID="{9ABD6F0E-A4FB-4321-A109-85804875AF8E}">
  <ds:schemaRefs>
    <ds:schemaRef ds:uri="http://schemas.microsoft.com/DataMashup"/>
  </ds:schemaRefs>
</ds:datastoreItem>
</file>

<file path=customXml/itemProps3.xml><?xml version="1.0" encoding="utf-8"?>
<ds:datastoreItem xmlns:ds="http://schemas.openxmlformats.org/officeDocument/2006/customXml" ds:itemID="{34DF3C3F-892F-40A8-945C-0CDB4A837B38}">
  <ds:schemaRefs>
    <ds:schemaRef ds:uri="http://schemas.openxmlformats.org/package/2006/metadata/core-properties"/>
    <ds:schemaRef ds:uri="http://schemas.microsoft.com/office/infopath/2007/PartnerControls"/>
    <ds:schemaRef ds:uri="http://purl.org/dc/terms/"/>
    <ds:schemaRef ds:uri="http://purl.org/dc/dcmitype/"/>
    <ds:schemaRef ds:uri="3c9e15a3-223f-4584-afb1-1dbe0b3878fa"/>
    <ds:schemaRef ds:uri="0c0a90e6-e41b-4ab7-99c8-c94455793e26"/>
    <ds:schemaRef ds:uri="http://purl.org/dc/elements/1.1/"/>
    <ds:schemaRef ds:uri="http://schemas.microsoft.com/office/2006/documentManagement/types"/>
    <ds:schemaRef ds:uri="f933e4e2-b1ab-4be3-bd5b-27fe7816f9f4"/>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9C39E06C-703F-492D-A2D4-035AD94024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0a90e6-e41b-4ab7-99c8-c94455793e26"/>
    <ds:schemaRef ds:uri="f933e4e2-b1ab-4be3-bd5b-27fe7816f9f4"/>
    <ds:schemaRef ds:uri="3c9e15a3-223f-4584-afb1-1dbe0b3878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482</vt:i4>
      </vt:variant>
    </vt:vector>
  </HeadingPairs>
  <TitlesOfParts>
    <vt:vector size="487" baseType="lpstr">
      <vt:lpstr>FormE-TAX</vt:lpstr>
      <vt:lpstr>FormE-TC</vt:lpstr>
      <vt:lpstr>FormE-LRTF</vt:lpstr>
      <vt:lpstr>RT - hidden</vt:lpstr>
      <vt:lpstr>StateRequirements</vt:lpstr>
      <vt:lpstr>_04</vt:lpstr>
      <vt:lpstr>_05</vt:lpstr>
      <vt:lpstr>_07</vt:lpstr>
      <vt:lpstr>_09</vt:lpstr>
      <vt:lpstr>_46</vt:lpstr>
      <vt:lpstr>_7</vt:lpstr>
      <vt:lpstr>_AL</vt:lpstr>
      <vt:lpstr>_AL2</vt:lpstr>
      <vt:lpstr>_ALO</vt:lpstr>
      <vt:lpstr>_ANNSTMT</vt:lpstr>
      <vt:lpstr>_BusType</vt:lpstr>
      <vt:lpstr>_CHG</vt:lpstr>
      <vt:lpstr>_CP</vt:lpstr>
      <vt:lpstr>_CP2</vt:lpstr>
      <vt:lpstr>_CPO</vt:lpstr>
      <vt:lpstr>_DIV</vt:lpstr>
      <vt:lpstr>_Domicile</vt:lpstr>
      <vt:lpstr>_EntType</vt:lpstr>
      <vt:lpstr>_F1</vt:lpstr>
      <vt:lpstr>_F1T</vt:lpstr>
      <vt:lpstr>_F2</vt:lpstr>
      <vt:lpstr>_F2T</vt:lpstr>
      <vt:lpstr>_FC</vt:lpstr>
      <vt:lpstr>_FE</vt:lpstr>
      <vt:lpstr>_FI</vt:lpstr>
      <vt:lpstr>_FI2</vt:lpstr>
      <vt:lpstr>_FIO</vt:lpstr>
      <vt:lpstr>_FO</vt:lpstr>
      <vt:lpstr>_FO2</vt:lpstr>
      <vt:lpstr>_FOO</vt:lpstr>
      <vt:lpstr>_FT</vt:lpstr>
      <vt:lpstr>_GE</vt:lpstr>
      <vt:lpstr>_GT</vt:lpstr>
      <vt:lpstr>_HO</vt:lpstr>
      <vt:lpstr>_HO2</vt:lpstr>
      <vt:lpstr>_HOO</vt:lpstr>
      <vt:lpstr>_IB</vt:lpstr>
      <vt:lpstr>_InsurerName</vt:lpstr>
      <vt:lpstr>_MAddr</vt:lpstr>
      <vt:lpstr>_MCity</vt:lpstr>
      <vt:lpstr>_MCX</vt:lpstr>
      <vt:lpstr>_MState</vt:lpstr>
      <vt:lpstr>_MZIP</vt:lpstr>
      <vt:lpstr>_NAIC</vt:lpstr>
      <vt:lpstr>_OriginalReport</vt:lpstr>
      <vt:lpstr>_OS</vt:lpstr>
      <vt:lpstr>_PC</vt:lpstr>
      <vt:lpstr>_PC_Dividends_Total</vt:lpstr>
      <vt:lpstr>_PC_FSC_Total</vt:lpstr>
      <vt:lpstr>_PC_OS</vt:lpstr>
      <vt:lpstr>_PC_Taxable_Total</vt:lpstr>
      <vt:lpstr>_PC_TWP</vt:lpstr>
      <vt:lpstr>_PCT</vt:lpstr>
      <vt:lpstr>_PMT_69</vt:lpstr>
      <vt:lpstr>_PreparerEmail</vt:lpstr>
      <vt:lpstr>_PreparerName</vt:lpstr>
      <vt:lpstr>_PreparerPhone</vt:lpstr>
      <vt:lpstr>_REN</vt:lpstr>
      <vt:lpstr>_RT</vt:lpstr>
      <vt:lpstr>_SG</vt:lpstr>
      <vt:lpstr>_SVCCHG</vt:lpstr>
      <vt:lpstr>_TaxYear</vt:lpstr>
      <vt:lpstr>_TC</vt:lpstr>
      <vt:lpstr>_TIP</vt:lpstr>
      <vt:lpstr>_TIP1</vt:lpstr>
      <vt:lpstr>_TIP2</vt:lpstr>
      <vt:lpstr>_TIP3</vt:lpstr>
      <vt:lpstr>_TIP4</vt:lpstr>
      <vt:lpstr>_TIP5</vt:lpstr>
      <vt:lpstr>_TIP6</vt:lpstr>
      <vt:lpstr>_VE</vt:lpstr>
      <vt:lpstr>_VT</vt:lpstr>
      <vt:lpstr>_WC</vt:lpstr>
      <vt:lpstr>City</vt:lpstr>
      <vt:lpstr>Installment_Due</vt:lpstr>
      <vt:lpstr>'FormE-LRTF'!LRTF_AL_a</vt:lpstr>
      <vt:lpstr>'FormE-LRTF'!LRTF_AL_b</vt:lpstr>
      <vt:lpstr>'FormE-LRTF'!LRTF_AL_c</vt:lpstr>
      <vt:lpstr>LRTF_AL_comment</vt:lpstr>
      <vt:lpstr>LRTF_AL_E</vt:lpstr>
      <vt:lpstr>'FormE-LRTF'!LRTF_AL_total</vt:lpstr>
      <vt:lpstr>LRTF_AL_total_municipal</vt:lpstr>
      <vt:lpstr>'FormE-LRTF'!LRTF_FL_a</vt:lpstr>
      <vt:lpstr>'FormE-LRTF'!LRTF_FL_b</vt:lpstr>
      <vt:lpstr>'FormE-LRTF'!LRTF_FL_c</vt:lpstr>
      <vt:lpstr>LRTF_FL_comment</vt:lpstr>
      <vt:lpstr>LRTF_FL_E</vt:lpstr>
      <vt:lpstr>'FormE-LRTF'!LRTF_FL_total</vt:lpstr>
      <vt:lpstr>LRTF_FL_total_municipal</vt:lpstr>
      <vt:lpstr>'FormE-LRTF'!LRTF_GA_a</vt:lpstr>
      <vt:lpstr>'FormE-LRTF'!LRTF_GA_b</vt:lpstr>
      <vt:lpstr>'FormE-LRTF'!LRTF_GA_c</vt:lpstr>
      <vt:lpstr>LRTF_GA_comment</vt:lpstr>
      <vt:lpstr>'FormE-LRTF'!LRTF_GA_D</vt:lpstr>
      <vt:lpstr>LRTF_GA_E</vt:lpstr>
      <vt:lpstr>'FormE-LRTF'!LRTF_GA_total</vt:lpstr>
      <vt:lpstr>LRTF_GA_total_municipal</vt:lpstr>
      <vt:lpstr>'FormE-LRTF'!LRTF_IA_a</vt:lpstr>
      <vt:lpstr>'FormE-LRTF'!LRTF_IA_b</vt:lpstr>
      <vt:lpstr>'FormE-LRTF'!LRTF_IA_c</vt:lpstr>
      <vt:lpstr>LRTF_IA_comment</vt:lpstr>
      <vt:lpstr>LRTF_IA_E</vt:lpstr>
      <vt:lpstr>'FormE-LRTF'!LRTF_IA_total</vt:lpstr>
      <vt:lpstr>LRTF_IA_total_municipal</vt:lpstr>
      <vt:lpstr>'FormE-LRTF'!LRTF_IL_a</vt:lpstr>
      <vt:lpstr>'FormE-LRTF'!LRTF_IL_b</vt:lpstr>
      <vt:lpstr>'FormE-LRTF'!LRTF_IL_c</vt:lpstr>
      <vt:lpstr>LRTF_IL_comment</vt:lpstr>
      <vt:lpstr>LRTF_IL_E</vt:lpstr>
      <vt:lpstr>'FormE-LRTF'!LRTF_IL_total</vt:lpstr>
      <vt:lpstr>LRTF_IL_total_municipal</vt:lpstr>
      <vt:lpstr>'FormE-LRTF'!LRTF_KS_a</vt:lpstr>
      <vt:lpstr>'FormE-LRTF'!LRTF_KS_b</vt:lpstr>
      <vt:lpstr>'FormE-LRTF'!LRTF_KS_c</vt:lpstr>
      <vt:lpstr>LRTF_KS_comment</vt:lpstr>
      <vt:lpstr>LRTF_KS_E</vt:lpstr>
      <vt:lpstr>'FormE-LRTF'!LRTF_KS_total</vt:lpstr>
      <vt:lpstr>LRTF_KS_total_municipal</vt:lpstr>
      <vt:lpstr>'FormE-LRTF'!LRTF_KY_a</vt:lpstr>
      <vt:lpstr>'FormE-LRTF'!LRTF_KY_b</vt:lpstr>
      <vt:lpstr>'FormE-LRTF'!LRTF_KY_c</vt:lpstr>
      <vt:lpstr>LRTF_KY_comment</vt:lpstr>
      <vt:lpstr>'FormE-LRTF'!LRTF_KY_D</vt:lpstr>
      <vt:lpstr>LRTF_KY_E</vt:lpstr>
      <vt:lpstr>'FormE-LRTF'!LRTF_KY_total</vt:lpstr>
      <vt:lpstr>LRTF_KY_total_municipal</vt:lpstr>
      <vt:lpstr>'FormE-LRTF'!LRTF_LA_a</vt:lpstr>
      <vt:lpstr>'FormE-LRTF'!LRTF_LA_b</vt:lpstr>
      <vt:lpstr>'FormE-LRTF'!LRTF_LA_c</vt:lpstr>
      <vt:lpstr>LRTF_LA_comment</vt:lpstr>
      <vt:lpstr>'FormE-LRTF'!LRTF_LA_D</vt:lpstr>
      <vt:lpstr>LRTF_LA_E</vt:lpstr>
      <vt:lpstr>'FormE-LRTF'!LRTF_LA_total</vt:lpstr>
      <vt:lpstr>LRTF_LA_total_municipal</vt:lpstr>
      <vt:lpstr>'FormE-LRTF'!LRTF_MO_a</vt:lpstr>
      <vt:lpstr>'FormE-LRTF'!LRTF_MO_b</vt:lpstr>
      <vt:lpstr>'FormE-LRTF'!LRTF_MO_c</vt:lpstr>
      <vt:lpstr>LRTF_MO_comment</vt:lpstr>
      <vt:lpstr>LRTF_MO_E</vt:lpstr>
      <vt:lpstr>'FormE-LRTF'!LRTF_MO_total</vt:lpstr>
      <vt:lpstr>LRTF_MO_total_municipal</vt:lpstr>
      <vt:lpstr>'FormE-LRTF'!LRTF_MS_a</vt:lpstr>
      <vt:lpstr>'FormE-LRTF'!LRTF_MS_b</vt:lpstr>
      <vt:lpstr>'FormE-LRTF'!LRTF_MS_c</vt:lpstr>
      <vt:lpstr>LRTF_MS_comment</vt:lpstr>
      <vt:lpstr>LRTF_MS_E</vt:lpstr>
      <vt:lpstr>'FormE-LRTF'!LRTF_MS_total</vt:lpstr>
      <vt:lpstr>LRTF_MS_total_municipal</vt:lpstr>
      <vt:lpstr>'FormE-LRTF'!LRTF_NE_a</vt:lpstr>
      <vt:lpstr>'FormE-LRTF'!LRTF_NE_b</vt:lpstr>
      <vt:lpstr>'FormE-LRTF'!LRTF_NE_c</vt:lpstr>
      <vt:lpstr>LRTF_NE_comment</vt:lpstr>
      <vt:lpstr>LRTF_NE_E</vt:lpstr>
      <vt:lpstr>'FormE-LRTF'!LRTF_NE_total</vt:lpstr>
      <vt:lpstr>LRTF_NE_total_municipal</vt:lpstr>
      <vt:lpstr>'FormE-LRTF'!LRTF_PA_a</vt:lpstr>
      <vt:lpstr>'FormE-LRTF'!LRTF_PA_b</vt:lpstr>
      <vt:lpstr>'FormE-LRTF'!LRTF_PA_c</vt:lpstr>
      <vt:lpstr>LRTF_PA_comment</vt:lpstr>
      <vt:lpstr>LRTF_PA_E</vt:lpstr>
      <vt:lpstr>'FormE-LRTF'!LRTF_PA_total</vt:lpstr>
      <vt:lpstr>LRTF_PA_total_municipal</vt:lpstr>
      <vt:lpstr>'FormE-LRTF'!LRTF_SC_a</vt:lpstr>
      <vt:lpstr>'FormE-LRTF'!LRTF_SC_b</vt:lpstr>
      <vt:lpstr>'FormE-LRTF'!LRTF_SC_c</vt:lpstr>
      <vt:lpstr>LRTF_SC_comment</vt:lpstr>
      <vt:lpstr>'FormE-LRTF'!LRTF_SC_D</vt:lpstr>
      <vt:lpstr>LRTF_SC_E</vt:lpstr>
      <vt:lpstr>'FormE-LRTF'!LRTF_SC_total</vt:lpstr>
      <vt:lpstr>LRTF_SC_total_municipal</vt:lpstr>
      <vt:lpstr>'FormE-LRTF'!LRTF_TX_a</vt:lpstr>
      <vt:lpstr>'FormE-LRTF'!LRTF_TX_b</vt:lpstr>
      <vt:lpstr>'FormE-LRTF'!LRTF_TX_c</vt:lpstr>
      <vt:lpstr>LRTF_TX_comment</vt:lpstr>
      <vt:lpstr>LRTF_TX_E</vt:lpstr>
      <vt:lpstr>'FormE-LRTF'!LRTF_TX_total</vt:lpstr>
      <vt:lpstr>LRTF_TX_total_municipal</vt:lpstr>
      <vt:lpstr>'FormE-LRTF'!LRTF_VT_a</vt:lpstr>
      <vt:lpstr>'FormE-LRTF'!LRTF_VT_b</vt:lpstr>
      <vt:lpstr>'FormE-LRTF'!LRTF_VT_c</vt:lpstr>
      <vt:lpstr>LRTF_VT_comment</vt:lpstr>
      <vt:lpstr>LRTF_VT_E</vt:lpstr>
      <vt:lpstr>'FormE-LRTF'!LRTF_VT_total</vt:lpstr>
      <vt:lpstr>LRTF_VT_total_municipal</vt:lpstr>
      <vt:lpstr>'FormE-LRTF'!LRTF_WV_a</vt:lpstr>
      <vt:lpstr>'FormE-LRTF'!LRTF_WV_b</vt:lpstr>
      <vt:lpstr>'FormE-LRTF'!LRTF_WV_c</vt:lpstr>
      <vt:lpstr>LRTF_WV_comment</vt:lpstr>
      <vt:lpstr>LRTF_WV_E</vt:lpstr>
      <vt:lpstr>'FormE-LRTF'!LRTF_WV_total</vt:lpstr>
      <vt:lpstr>LRTF_WV_total_municipal</vt:lpstr>
      <vt:lpstr>Mailing_Address</vt:lpstr>
      <vt:lpstr>paycd_AS</vt:lpstr>
      <vt:lpstr>paycd_REN</vt:lpstr>
      <vt:lpstr>PC01_Dividends</vt:lpstr>
      <vt:lpstr>PC01_Finance_Srvc_Charges</vt:lpstr>
      <vt:lpstr>PC01_Other</vt:lpstr>
      <vt:lpstr>PC01_Total</vt:lpstr>
      <vt:lpstr>PC01_Total_Written_Premium</vt:lpstr>
      <vt:lpstr>PC02.1_Dividends</vt:lpstr>
      <vt:lpstr>PC02.1_Finance_Srvc_Charges</vt:lpstr>
      <vt:lpstr>PC02.1_Other</vt:lpstr>
      <vt:lpstr>PC02.1_Total</vt:lpstr>
      <vt:lpstr>PC02.1_Total_Written_Premium</vt:lpstr>
      <vt:lpstr>PC02.2_Dividends</vt:lpstr>
      <vt:lpstr>PC02.2_Finance_Srvc_Charges</vt:lpstr>
      <vt:lpstr>PC02.2_Other</vt:lpstr>
      <vt:lpstr>PC02.2_Total</vt:lpstr>
      <vt:lpstr>PC02.2_Total_Written_Premium</vt:lpstr>
      <vt:lpstr>PC02.3_Dividends</vt:lpstr>
      <vt:lpstr>PC02.3_Finance_Srvc_Charges</vt:lpstr>
      <vt:lpstr>PC02.3_Other</vt:lpstr>
      <vt:lpstr>PC02.3_Total</vt:lpstr>
      <vt:lpstr>PC02.3_Total_Written_Premium</vt:lpstr>
      <vt:lpstr>PC02.4_Dividends</vt:lpstr>
      <vt:lpstr>PC02.4_Finance_Srvc_Charges</vt:lpstr>
      <vt:lpstr>PC02.4_Other</vt:lpstr>
      <vt:lpstr>PC02.4_Total</vt:lpstr>
      <vt:lpstr>PC02.4_Total_Written_Premium</vt:lpstr>
      <vt:lpstr>PC02.5_Dividends</vt:lpstr>
      <vt:lpstr>PC02.5_Finance_Srvc_Charges</vt:lpstr>
      <vt:lpstr>PC02.5_Other</vt:lpstr>
      <vt:lpstr>PC02.5_Total</vt:lpstr>
      <vt:lpstr>PC02.5_Total_Written_Premium</vt:lpstr>
      <vt:lpstr>PC03_Dividends</vt:lpstr>
      <vt:lpstr>PC03_Finance_Srvc_Charges</vt:lpstr>
      <vt:lpstr>PC03_Other</vt:lpstr>
      <vt:lpstr>PC03_Total</vt:lpstr>
      <vt:lpstr>PC03_Total_Written_Premium</vt:lpstr>
      <vt:lpstr>PC04_Dividends</vt:lpstr>
      <vt:lpstr>PC04_Finance_Srvc_Charges</vt:lpstr>
      <vt:lpstr>PC04_Other</vt:lpstr>
      <vt:lpstr>PC04_Total</vt:lpstr>
      <vt:lpstr>PC04_Total_Written_Premium</vt:lpstr>
      <vt:lpstr>PC05.1_Dividends</vt:lpstr>
      <vt:lpstr>PC05.1_Finance_Srvc_Charges</vt:lpstr>
      <vt:lpstr>PC05.1_Other</vt:lpstr>
      <vt:lpstr>PC05.1_Total</vt:lpstr>
      <vt:lpstr>PC05.1_Total_Written_Premium</vt:lpstr>
      <vt:lpstr>PC05.2_Dividends</vt:lpstr>
      <vt:lpstr>PC05.2_Finance_Srvc_Charges</vt:lpstr>
      <vt:lpstr>PC05.2_Other</vt:lpstr>
      <vt:lpstr>PC05.2_Total</vt:lpstr>
      <vt:lpstr>PC05.2_Total_Written_Premium</vt:lpstr>
      <vt:lpstr>PC06_Dividends</vt:lpstr>
      <vt:lpstr>PC06_Finance_Srvc_Charges</vt:lpstr>
      <vt:lpstr>PC06_Other</vt:lpstr>
      <vt:lpstr>PC06_Total</vt:lpstr>
      <vt:lpstr>PC06_Total_Written_Premium</vt:lpstr>
      <vt:lpstr>PC08_Dividends</vt:lpstr>
      <vt:lpstr>PC08_Finance_Srvc_Charges</vt:lpstr>
      <vt:lpstr>PC08_Other</vt:lpstr>
      <vt:lpstr>PC08_Total</vt:lpstr>
      <vt:lpstr>PC08_Total_Written_Premium</vt:lpstr>
      <vt:lpstr>PC09.2_Dividends</vt:lpstr>
      <vt:lpstr>PC09.2_Finance_Srvc_Charges</vt:lpstr>
      <vt:lpstr>PC09.2_Other</vt:lpstr>
      <vt:lpstr>PC09.2_Total</vt:lpstr>
      <vt:lpstr>PC09.2_Total_Written_Premium</vt:lpstr>
      <vt:lpstr>PC09_Dividends</vt:lpstr>
      <vt:lpstr>PC09_Finance_Srvc_Charges</vt:lpstr>
      <vt:lpstr>PC09_Other</vt:lpstr>
      <vt:lpstr>PC09_Total</vt:lpstr>
      <vt:lpstr>PC09_Total_Written_Premium</vt:lpstr>
      <vt:lpstr>PC10_Dividends</vt:lpstr>
      <vt:lpstr>PC10_Finance_Srvc_Charges</vt:lpstr>
      <vt:lpstr>PC10_Other</vt:lpstr>
      <vt:lpstr>PC10_Total</vt:lpstr>
      <vt:lpstr>PC10_Total_Written_Premium</vt:lpstr>
      <vt:lpstr>PC11_Dividends</vt:lpstr>
      <vt:lpstr>PC11_Finance_Srvc_Charges</vt:lpstr>
      <vt:lpstr>PC11_Other</vt:lpstr>
      <vt:lpstr>PC11_Total</vt:lpstr>
      <vt:lpstr>PC11_Total_Written_Premium</vt:lpstr>
      <vt:lpstr>PC12_Dividends</vt:lpstr>
      <vt:lpstr>PC12_Finance_Srvc_Charges</vt:lpstr>
      <vt:lpstr>PC12_Other</vt:lpstr>
      <vt:lpstr>PC12_Total</vt:lpstr>
      <vt:lpstr>PC12_Total_Written_Premium</vt:lpstr>
      <vt:lpstr>PC16_Dividends</vt:lpstr>
      <vt:lpstr>PC16_Finance_Srvc_Charges</vt:lpstr>
      <vt:lpstr>PC16_Other</vt:lpstr>
      <vt:lpstr>PC16_Total</vt:lpstr>
      <vt:lpstr>PC16_Total_Written_Premium</vt:lpstr>
      <vt:lpstr>PC17.1_Dividends</vt:lpstr>
      <vt:lpstr>PC17.1_Finance_Srvc_Charges</vt:lpstr>
      <vt:lpstr>PC17.1_Other</vt:lpstr>
      <vt:lpstr>PC17.1_Total</vt:lpstr>
      <vt:lpstr>PC17.1_Total_Written_Premium</vt:lpstr>
      <vt:lpstr>PC17.2_Dividends</vt:lpstr>
      <vt:lpstr>PC17.2_Finance_Srvc_Charges</vt:lpstr>
      <vt:lpstr>PC17.2_Other</vt:lpstr>
      <vt:lpstr>PC17.2_Total</vt:lpstr>
      <vt:lpstr>PC17.2_Total_Written_Premium</vt:lpstr>
      <vt:lpstr>PC17.3_Dividends</vt:lpstr>
      <vt:lpstr>PC17.3_Finance_Srvc_Charges</vt:lpstr>
      <vt:lpstr>PC17.3_Other</vt:lpstr>
      <vt:lpstr>PC17.3_Total</vt:lpstr>
      <vt:lpstr>PC17.3_Total_Written_Premium</vt:lpstr>
      <vt:lpstr>PC18_Dividends</vt:lpstr>
      <vt:lpstr>PC18_Finance_Srvc_Charges</vt:lpstr>
      <vt:lpstr>PC18_Other</vt:lpstr>
      <vt:lpstr>PC18_Total</vt:lpstr>
      <vt:lpstr>PC18_Total_Written_Premium</vt:lpstr>
      <vt:lpstr>PC19.1_Dividends</vt:lpstr>
      <vt:lpstr>PC19.1_Finance_Srvc_Charges</vt:lpstr>
      <vt:lpstr>PC19.1_Other</vt:lpstr>
      <vt:lpstr>PC19.1_Total</vt:lpstr>
      <vt:lpstr>PC19.1_Total_Written_Premium</vt:lpstr>
      <vt:lpstr>PC19.2_Dividends</vt:lpstr>
      <vt:lpstr>PC19.2_Finance_Srvc_Charges</vt:lpstr>
      <vt:lpstr>PC19.2_Other</vt:lpstr>
      <vt:lpstr>PC19.2_Total</vt:lpstr>
      <vt:lpstr>PC19.2_Total_Written_Premium</vt:lpstr>
      <vt:lpstr>PC19.3_Dividends</vt:lpstr>
      <vt:lpstr>PC19.3_Finance_Srvc_Charges</vt:lpstr>
      <vt:lpstr>PC19.3_Other</vt:lpstr>
      <vt:lpstr>PC19.3_Total</vt:lpstr>
      <vt:lpstr>PC19.3_Total_Written_Premium</vt:lpstr>
      <vt:lpstr>PC19.4_Dividends</vt:lpstr>
      <vt:lpstr>PC19.4_Finance_Srvc_Charges</vt:lpstr>
      <vt:lpstr>PC19.4_Other</vt:lpstr>
      <vt:lpstr>PC19.4_Total</vt:lpstr>
      <vt:lpstr>PC19.4_Total_Written_Premium</vt:lpstr>
      <vt:lpstr>PC21.1_Dividends</vt:lpstr>
      <vt:lpstr>PC21.1_Finance_Srvc_Charges</vt:lpstr>
      <vt:lpstr>PC21.1_Other</vt:lpstr>
      <vt:lpstr>PC21.1_Total</vt:lpstr>
      <vt:lpstr>PC21.1_Total_Written_Premium</vt:lpstr>
      <vt:lpstr>PC21.2_Dividends</vt:lpstr>
      <vt:lpstr>PC21.2_Finance_Srvc_Charges</vt:lpstr>
      <vt:lpstr>PC21.2_Other</vt:lpstr>
      <vt:lpstr>PC21.2_Total</vt:lpstr>
      <vt:lpstr>PC21.2_Total_Written_Premium</vt:lpstr>
      <vt:lpstr>PC22_Dividends</vt:lpstr>
      <vt:lpstr>PC22_Finance_Srvc_Charges</vt:lpstr>
      <vt:lpstr>PC22_Other</vt:lpstr>
      <vt:lpstr>PC22_Total</vt:lpstr>
      <vt:lpstr>PC22_Total_Written_Premium</vt:lpstr>
      <vt:lpstr>PC23_Dividends</vt:lpstr>
      <vt:lpstr>PC23_Finance_Srvc_Charges</vt:lpstr>
      <vt:lpstr>PC23_Other</vt:lpstr>
      <vt:lpstr>PC23_Total</vt:lpstr>
      <vt:lpstr>PC23_Total_Written_Premium</vt:lpstr>
      <vt:lpstr>PC24_Dividends</vt:lpstr>
      <vt:lpstr>PC24_Finance_Srvc_Charges</vt:lpstr>
      <vt:lpstr>PC24_Other</vt:lpstr>
      <vt:lpstr>PC24_Total</vt:lpstr>
      <vt:lpstr>PC24_Total_Written_Premium</vt:lpstr>
      <vt:lpstr>PC26_Dividends</vt:lpstr>
      <vt:lpstr>PC26_Finance_Srvc_Charges</vt:lpstr>
      <vt:lpstr>PC26_Other</vt:lpstr>
      <vt:lpstr>PC26_Total</vt:lpstr>
      <vt:lpstr>PC26_Total_Written_Premium</vt:lpstr>
      <vt:lpstr>PC27_Dividends</vt:lpstr>
      <vt:lpstr>PC27_Finance_Srvc_Charges</vt:lpstr>
      <vt:lpstr>PC27_Other</vt:lpstr>
      <vt:lpstr>PC27_Total</vt:lpstr>
      <vt:lpstr>PC27_Total_Written_Premium</vt:lpstr>
      <vt:lpstr>PC28_Dividends</vt:lpstr>
      <vt:lpstr>PC28_Finance_Srvc_Charges</vt:lpstr>
      <vt:lpstr>PC28_Other</vt:lpstr>
      <vt:lpstr>PC28_Total</vt:lpstr>
      <vt:lpstr>PC28_Total_Written_Premium</vt:lpstr>
      <vt:lpstr>PC30_Dividends</vt:lpstr>
      <vt:lpstr>PC30_Finance_Srvc_Charges</vt:lpstr>
      <vt:lpstr>PC30_Other</vt:lpstr>
      <vt:lpstr>PC30_Total</vt:lpstr>
      <vt:lpstr>PC30_Total_Written_Premium</vt:lpstr>
      <vt:lpstr>PC34_Dividends</vt:lpstr>
      <vt:lpstr>PC34_Finance_Srvc_Charges</vt:lpstr>
      <vt:lpstr>PC34_Other</vt:lpstr>
      <vt:lpstr>PC34_Total</vt:lpstr>
      <vt:lpstr>PC34_Total_Written_Premium</vt:lpstr>
      <vt:lpstr>'FormE-LRTF'!Print_Area</vt:lpstr>
      <vt:lpstr>'FormE-TAX'!Print_Area</vt:lpstr>
      <vt:lpstr>'FormE-TC'!Print_Area</vt:lpstr>
      <vt:lpstr>State</vt:lpstr>
      <vt:lpstr>TC_10</vt:lpstr>
      <vt:lpstr>'FormE-TC'!tc_11</vt:lpstr>
      <vt:lpstr>tc_12</vt:lpstr>
      <vt:lpstr>'FormE-TC'!tc_13</vt:lpstr>
      <vt:lpstr>'FormE-TC'!tc_14</vt:lpstr>
      <vt:lpstr>'FormE-TC'!tc_15</vt:lpstr>
      <vt:lpstr>'FormE-TC'!TC_16</vt:lpstr>
      <vt:lpstr>TC_16.1</vt:lpstr>
      <vt:lpstr>TC_16.2</vt:lpstr>
      <vt:lpstr>TC_16.3</vt:lpstr>
      <vt:lpstr>'FormE-TC'!tc_17</vt:lpstr>
      <vt:lpstr>'FormE-TC'!TC_18</vt:lpstr>
      <vt:lpstr>TC_18.1</vt:lpstr>
      <vt:lpstr>TC_18.2</vt:lpstr>
      <vt:lpstr>'FormE-TC'!TC_19</vt:lpstr>
      <vt:lpstr>'FormE-TC'!TC_20</vt:lpstr>
      <vt:lpstr>'FormE-TC'!TC_21</vt:lpstr>
      <vt:lpstr>'FormE-TC'!TC_21.1</vt:lpstr>
      <vt:lpstr>'FormE-TC'!TC_21.2</vt:lpstr>
      <vt:lpstr>TC_21.3</vt:lpstr>
      <vt:lpstr>'FormE-TC'!tc_22</vt:lpstr>
      <vt:lpstr>'FormE-TC'!TC_23</vt:lpstr>
      <vt:lpstr>TC_23.1</vt:lpstr>
      <vt:lpstr>TC_23.2</vt:lpstr>
      <vt:lpstr>'FormE-TC'!tc_24</vt:lpstr>
      <vt:lpstr>'FormE-TC'!TC_25</vt:lpstr>
      <vt:lpstr>TC_25.1</vt:lpstr>
      <vt:lpstr>TC_25.2</vt:lpstr>
      <vt:lpstr>TC_25.3</vt:lpstr>
      <vt:lpstr>'FormE-TC'!tc_26</vt:lpstr>
      <vt:lpstr>'FormE-TC'!TC_27</vt:lpstr>
      <vt:lpstr>TC_27.1</vt:lpstr>
      <vt:lpstr>TC_27.2</vt:lpstr>
      <vt:lpstr>'FormE-TC'!tc_28</vt:lpstr>
      <vt:lpstr>'FormE-TC'!tc_29</vt:lpstr>
      <vt:lpstr>'FormE-TC'!TC_30</vt:lpstr>
      <vt:lpstr>'FormE-TC'!TC_30.1</vt:lpstr>
      <vt:lpstr>'FormE-TC'!TC_30.2</vt:lpstr>
      <vt:lpstr>TC_30.3</vt:lpstr>
      <vt:lpstr>'FormE-TC'!tc_31</vt:lpstr>
      <vt:lpstr>'FormE-TC'!TC_32</vt:lpstr>
      <vt:lpstr>TC_32.1</vt:lpstr>
      <vt:lpstr>TC_32.2</vt:lpstr>
      <vt:lpstr>'FormE-TC'!tc_33</vt:lpstr>
      <vt:lpstr>'FormE-TC'!TC_34</vt:lpstr>
      <vt:lpstr>TC_34.1</vt:lpstr>
      <vt:lpstr>TC_34.2</vt:lpstr>
      <vt:lpstr>TC_34.3</vt:lpstr>
      <vt:lpstr>'FormE-TC'!TC_35</vt:lpstr>
      <vt:lpstr>'FormE-TC'!TC_36</vt:lpstr>
      <vt:lpstr>TC_36.1</vt:lpstr>
      <vt:lpstr>TC_36.2</vt:lpstr>
      <vt:lpstr>TC_8</vt:lpstr>
      <vt:lpstr>tc_9.1</vt:lpstr>
      <vt:lpstr>tc_9.10</vt:lpstr>
      <vt:lpstr>tc_9.11</vt:lpstr>
      <vt:lpstr>tc_9.12</vt:lpstr>
      <vt:lpstr>tc_9.13</vt:lpstr>
      <vt:lpstr>tc_9.14</vt:lpstr>
      <vt:lpstr>tc_9.15</vt:lpstr>
      <vt:lpstr>tc_9.2</vt:lpstr>
      <vt:lpstr>tc_9.3</vt:lpstr>
      <vt:lpstr>tc_9.4</vt:lpstr>
      <vt:lpstr>tc_9.5</vt:lpstr>
      <vt:lpstr>tc_9.6</vt:lpstr>
      <vt:lpstr>tc_9.7</vt:lpstr>
      <vt:lpstr>tc_9.8</vt:lpstr>
      <vt:lpstr>tc_9.9</vt:lpstr>
      <vt:lpstr>tc_9total</vt:lpstr>
      <vt:lpstr>'FormE-TC'!TC_AHA</vt:lpstr>
      <vt:lpstr>'FormE-TC'!TC_AHE</vt:lpstr>
      <vt:lpstr>'FormE-TC'!TC_AHF</vt:lpstr>
      <vt:lpstr>'FormE-TC'!TC_AHT</vt:lpstr>
      <vt:lpstr>'FormE-TC'!tc_BusType</vt:lpstr>
      <vt:lpstr>'FormE-TC'!tc_Domicile</vt:lpstr>
      <vt:lpstr>'FormE-TC'!tc_EntType</vt:lpstr>
      <vt:lpstr>'FormE-TC'!TC_GFA</vt:lpstr>
      <vt:lpstr>'FormE-TC'!TC_GFE</vt:lpstr>
      <vt:lpstr>'FormE-TC'!TC_GFT</vt:lpstr>
      <vt:lpstr>'FormE-TC'!TC_HCA</vt:lpstr>
      <vt:lpstr>'FormE-TC'!TC_HCE</vt:lpstr>
      <vt:lpstr>'FormE-TC'!TC_HCF</vt:lpstr>
      <vt:lpstr>'FormE-TC'!TC_HCT</vt:lpstr>
      <vt:lpstr>'FormE-TC'!tc_InsurerName</vt:lpstr>
      <vt:lpstr>'FormE-TC'!tc_NAIC</vt:lpstr>
      <vt:lpstr>'FormE-TC'!TC_QJA</vt:lpstr>
      <vt:lpstr>'FormE-TC'!TC_QJE</vt:lpstr>
      <vt:lpstr>'FormE-TC'!TC_QJF</vt:lpstr>
      <vt:lpstr>'FormE-TC'!TC_QJT</vt:lpstr>
      <vt:lpstr>'FormE-TC'!TC_S1A</vt:lpstr>
      <vt:lpstr>'FormE-TC'!TC_S1E</vt:lpstr>
      <vt:lpstr>'FormE-TC'!TC_S1F</vt:lpstr>
      <vt:lpstr>'FormE-TC'!TC_S1T</vt:lpstr>
      <vt:lpstr>'FormE-TC'!TC_S2A</vt:lpstr>
      <vt:lpstr>'FormE-TC'!TC_S2E</vt:lpstr>
      <vt:lpstr>'FormE-TC'!TC_S2F</vt:lpstr>
      <vt:lpstr>'FormE-TC'!TC_S2T</vt:lpstr>
      <vt:lpstr>'FormE-TC'!TC_SCE</vt:lpstr>
      <vt:lpstr>'FormE-TC'!TC_SCT</vt:lpstr>
      <vt:lpstr>'FormE-TC'!tc_TaxYear</vt:lpstr>
      <vt:lpstr>'FormE-TC'!TC_TC</vt:lpstr>
      <vt:lpstr>Total_Gross_PT</vt:lpstr>
      <vt:lpstr>version</vt:lpstr>
      <vt:lpstr>ZIP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B. Greenberg</dc:creator>
  <cp:lastModifiedBy>Robinette, Kristen</cp:lastModifiedBy>
  <cp:revision/>
  <cp:lastPrinted>2024-12-10T17:47:57Z</cp:lastPrinted>
  <dcterms:created xsi:type="dcterms:W3CDTF">2014-08-01T00:43:46Z</dcterms:created>
  <dcterms:modified xsi:type="dcterms:W3CDTF">2025-02-11T14:38:12Z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0x0101006531A8C69AB2D548A863655BB1040AAC</vt:lpwstr>
  </property>
  <property fmtid="{D5CDD505-2E9C-101B-9397-08002B2CF9AE}" pid="4" name="MediaServiceImageTags">
    <vt:lpwstr/>
  </property>
</Properties>
</file>